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edermann\TMCTechAccessPack\Chips\TMC2300\"/>
    </mc:Choice>
  </mc:AlternateContent>
  <xr:revisionPtr revIDLastSave="0" documentId="13_ncr:1_{E806BE61-2335-4ED1-844D-E8413ADA1266}" xr6:coauthVersionLast="44" xr6:coauthVersionMax="44" xr10:uidLastSave="{00000000-0000-0000-0000-000000000000}"/>
  <bookViews>
    <workbookView xWindow="-108" yWindow="-108" windowWidth="30936" windowHeight="17496" activeTab="3" xr2:uid="{00000000-000D-0000-FFFF-FFFF00000000}"/>
  </bookViews>
  <sheets>
    <sheet name="Velocity Calculation" sheetId="1" r:id="rId1"/>
    <sheet name="Power Dissipation" sheetId="5" r:id="rId2"/>
    <sheet name="Rsense" sheetId="7" r:id="rId3"/>
    <sheet name="Datagram CRC calc" sheetId="8" r:id="rId4"/>
    <sheet name="Revision History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8" l="1"/>
  <c r="D21" i="8"/>
  <c r="F24" i="8" s="1"/>
  <c r="F25" i="8" s="1"/>
  <c r="F26" i="8" s="1"/>
  <c r="F27" i="8" s="1"/>
  <c r="F28" i="8" s="1"/>
  <c r="F29" i="8" s="1"/>
  <c r="F30" i="8" s="1"/>
  <c r="F31" i="8" s="1"/>
  <c r="F32" i="8" s="1"/>
  <c r="I4" i="8"/>
  <c r="C21" i="8"/>
  <c r="D24" i="8" s="1"/>
  <c r="D25" i="8" s="1"/>
  <c r="D26" i="8" s="1"/>
  <c r="D27" i="8" s="1"/>
  <c r="D28" i="8" s="1"/>
  <c r="D29" i="8" s="1"/>
  <c r="D30" i="8" s="1"/>
  <c r="D31" i="8" s="1"/>
  <c r="D32" i="8" s="1"/>
  <c r="B21" i="8"/>
  <c r="B24" i="8" s="1"/>
  <c r="B25" i="8" s="1"/>
  <c r="H5" i="8"/>
  <c r="G5" i="8"/>
  <c r="F5" i="8"/>
  <c r="J8" i="8" s="1"/>
  <c r="J9" i="8" s="1"/>
  <c r="J10" i="8" s="1"/>
  <c r="J11" i="8" s="1"/>
  <c r="J12" i="8" s="1"/>
  <c r="J13" i="8" s="1"/>
  <c r="J14" i="8" s="1"/>
  <c r="J15" i="8" s="1"/>
  <c r="J16" i="8" s="1"/>
  <c r="E5" i="8"/>
  <c r="H8" i="8" s="1"/>
  <c r="H9" i="8" s="1"/>
  <c r="H10" i="8" s="1"/>
  <c r="H11" i="8" s="1"/>
  <c r="H12" i="8" s="1"/>
  <c r="H13" i="8" s="1"/>
  <c r="H14" i="8" s="1"/>
  <c r="H15" i="8" s="1"/>
  <c r="H16" i="8" s="1"/>
  <c r="D5" i="8"/>
  <c r="F8" i="8" s="1"/>
  <c r="F9" i="8" s="1"/>
  <c r="F10" i="8" s="1"/>
  <c r="F11" i="8" s="1"/>
  <c r="F12" i="8" s="1"/>
  <c r="F13" i="8" s="1"/>
  <c r="F14" i="8" s="1"/>
  <c r="F15" i="8" s="1"/>
  <c r="F16" i="8" s="1"/>
  <c r="C5" i="8"/>
  <c r="D8" i="8" s="1"/>
  <c r="D9" i="8" s="1"/>
  <c r="D10" i="8" s="1"/>
  <c r="D11" i="8" s="1"/>
  <c r="D12" i="8" s="1"/>
  <c r="D13" i="8" s="1"/>
  <c r="D14" i="8" s="1"/>
  <c r="D15" i="8" s="1"/>
  <c r="D16" i="8" s="1"/>
  <c r="B5" i="8"/>
  <c r="B8" i="8" s="1"/>
  <c r="B9" i="8" s="1"/>
  <c r="B26" i="8" l="1"/>
  <c r="B27" i="8" s="1"/>
  <c r="B28" i="8" s="1"/>
  <c r="B29" i="8" s="1"/>
  <c r="B30" i="8" s="1"/>
  <c r="B31" i="8" s="1"/>
  <c r="B32" i="8" s="1"/>
  <c r="C25" i="8"/>
  <c r="C26" i="8" s="1"/>
  <c r="C27" i="8" s="1"/>
  <c r="C28" i="8" s="1"/>
  <c r="C29" i="8" s="1"/>
  <c r="C30" i="8" s="1"/>
  <c r="C31" i="8" s="1"/>
  <c r="C32" i="8" s="1"/>
  <c r="E24" i="8" s="1"/>
  <c r="E25" i="8" s="1"/>
  <c r="E26" i="8" s="1"/>
  <c r="E27" i="8" s="1"/>
  <c r="E28" i="8" s="1"/>
  <c r="E29" i="8" s="1"/>
  <c r="E30" i="8" s="1"/>
  <c r="E31" i="8" s="1"/>
  <c r="E32" i="8" s="1"/>
  <c r="G24" i="8" s="1"/>
  <c r="G25" i="8" s="1"/>
  <c r="G26" i="8" s="1"/>
  <c r="G27" i="8" s="1"/>
  <c r="G28" i="8" s="1"/>
  <c r="G29" i="8" s="1"/>
  <c r="G30" i="8" s="1"/>
  <c r="G31" i="8" s="1"/>
  <c r="G32" i="8" s="1"/>
  <c r="C9" i="8"/>
  <c r="C10" i="8" s="1"/>
  <c r="C11" i="8" s="1"/>
  <c r="C12" i="8" s="1"/>
  <c r="C13" i="8" s="1"/>
  <c r="C14" i="8" s="1"/>
  <c r="C15" i="8" s="1"/>
  <c r="C16" i="8" s="1"/>
  <c r="E8" i="8" s="1"/>
  <c r="E9" i="8" s="1"/>
  <c r="E10" i="8" s="1"/>
  <c r="E11" i="8" s="1"/>
  <c r="E12" i="8" s="1"/>
  <c r="E13" i="8" s="1"/>
  <c r="E14" i="8" s="1"/>
  <c r="E15" i="8" s="1"/>
  <c r="E16" i="8" s="1"/>
  <c r="G8" i="8" s="1"/>
  <c r="G9" i="8" s="1"/>
  <c r="G10" i="8" s="1"/>
  <c r="G11" i="8" s="1"/>
  <c r="G12" i="8" s="1"/>
  <c r="G13" i="8" s="1"/>
  <c r="G14" i="8" s="1"/>
  <c r="G15" i="8" s="1"/>
  <c r="G16" i="8" s="1"/>
  <c r="I8" i="8" s="1"/>
  <c r="I9" i="8" s="1"/>
  <c r="I10" i="8" s="1"/>
  <c r="I11" i="8" s="1"/>
  <c r="I12" i="8" s="1"/>
  <c r="I13" i="8" s="1"/>
  <c r="I14" i="8" s="1"/>
  <c r="I15" i="8" s="1"/>
  <c r="I16" i="8" s="1"/>
  <c r="K8" i="8" s="1"/>
  <c r="K9" i="8" s="1"/>
  <c r="K10" i="8" s="1"/>
  <c r="K11" i="8" s="1"/>
  <c r="K12" i="8" s="1"/>
  <c r="K13" i="8" s="1"/>
  <c r="K14" i="8" s="1"/>
  <c r="K15" i="8" s="1"/>
  <c r="K16" i="8" s="1"/>
  <c r="M8" i="8" s="1"/>
  <c r="M9" i="8" s="1"/>
  <c r="M10" i="8" s="1"/>
  <c r="M11" i="8" s="1"/>
  <c r="M12" i="8" s="1"/>
  <c r="M13" i="8" s="1"/>
  <c r="M14" i="8" s="1"/>
  <c r="M15" i="8" s="1"/>
  <c r="M16" i="8" s="1"/>
  <c r="O8" i="8" s="1"/>
  <c r="O9" i="8" s="1"/>
  <c r="O10" i="8" s="1"/>
  <c r="O11" i="8" s="1"/>
  <c r="O12" i="8" s="1"/>
  <c r="O13" i="8" s="1"/>
  <c r="O14" i="8" s="1"/>
  <c r="O15" i="8" s="1"/>
  <c r="O16" i="8" s="1"/>
  <c r="B10" i="8"/>
  <c r="B11" i="8" s="1"/>
  <c r="B12" i="8" s="1"/>
  <c r="B13" i="8" s="1"/>
  <c r="B14" i="8" s="1"/>
  <c r="B15" i="8" s="1"/>
  <c r="B16" i="8" s="1"/>
  <c r="L8" i="8"/>
  <c r="L9" i="8" s="1"/>
  <c r="L10" i="8" s="1"/>
  <c r="L11" i="8" s="1"/>
  <c r="L12" i="8" s="1"/>
  <c r="L13" i="8" s="1"/>
  <c r="L14" i="8" s="1"/>
  <c r="L15" i="8" s="1"/>
  <c r="L16" i="8" s="1"/>
  <c r="N8" i="8"/>
  <c r="N9" i="8" s="1"/>
  <c r="N10" i="8" s="1"/>
  <c r="N11" i="8" s="1"/>
  <c r="N12" i="8" s="1"/>
  <c r="N13" i="8" s="1"/>
  <c r="N14" i="8" s="1"/>
  <c r="N15" i="8" s="1"/>
  <c r="N16" i="8" s="1"/>
  <c r="B21" i="7" l="1"/>
  <c r="C21" i="7" s="1"/>
  <c r="D21" i="7" s="1"/>
  <c r="C38" i="5" l="1"/>
  <c r="C35" i="5"/>
  <c r="C43" i="5"/>
  <c r="C37" i="5"/>
  <c r="C27" i="5" l="1"/>
  <c r="C26" i="5"/>
  <c r="B18" i="7" l="1"/>
  <c r="C18" i="7" s="1"/>
  <c r="D18" i="7" s="1"/>
  <c r="B15" i="7"/>
  <c r="C15" i="7" s="1"/>
  <c r="D15" i="7" s="1"/>
  <c r="B8" i="7"/>
  <c r="B9" i="7"/>
  <c r="B10" i="7"/>
  <c r="B11" i="7"/>
  <c r="B12" i="7"/>
  <c r="B13" i="7"/>
  <c r="B14" i="7"/>
  <c r="B16" i="7"/>
  <c r="B17" i="7"/>
  <c r="B19" i="7"/>
  <c r="B20" i="7"/>
  <c r="B7" i="7"/>
  <c r="C8" i="7" l="1"/>
  <c r="D8" i="7" s="1"/>
  <c r="C9" i="7"/>
  <c r="D9" i="7" s="1"/>
  <c r="B23" i="1" l="1"/>
  <c r="C49" i="5" l="1"/>
  <c r="C50" i="5"/>
  <c r="C13" i="5"/>
  <c r="C10" i="7" l="1"/>
  <c r="D10" i="7" s="1"/>
  <c r="C11" i="7"/>
  <c r="D11" i="7" s="1"/>
  <c r="C12" i="7"/>
  <c r="D12" i="7" s="1"/>
  <c r="C13" i="7"/>
  <c r="D13" i="7" s="1"/>
  <c r="C14" i="7"/>
  <c r="D14" i="7" s="1"/>
  <c r="C16" i="7"/>
  <c r="D16" i="7" s="1"/>
  <c r="C17" i="7"/>
  <c r="D17" i="7" s="1"/>
  <c r="C19" i="7"/>
  <c r="D19" i="7" s="1"/>
  <c r="C20" i="7"/>
  <c r="D20" i="7" s="1"/>
  <c r="C7" i="7"/>
  <c r="D7" i="7" s="1"/>
  <c r="C9" i="5" l="1"/>
  <c r="C34" i="5" l="1"/>
  <c r="B28" i="1"/>
  <c r="B30" i="1" l="1"/>
  <c r="J7" i="1"/>
  <c r="B29" i="1"/>
  <c r="B24" i="1"/>
  <c r="B10" i="1"/>
  <c r="B11" i="1" s="1"/>
  <c r="B25" i="1" l="1"/>
  <c r="B15" i="1" s="1"/>
  <c r="B19" i="1" s="1"/>
  <c r="B31" i="1"/>
  <c r="B32" i="1"/>
  <c r="B35" i="1" l="1"/>
  <c r="B36" i="1" s="1"/>
  <c r="B16" i="1"/>
  <c r="B17" i="1" s="1"/>
  <c r="B18" i="1" s="1"/>
  <c r="B20" i="1" s="1"/>
  <c r="C36" i="5" l="1"/>
  <c r="C39" i="5"/>
  <c r="C41" i="5" l="1"/>
  <c r="C42" i="5" s="1"/>
  <c r="C45" i="5" s="1"/>
</calcChain>
</file>

<file path=xl/sharedStrings.xml><?xml version="1.0" encoding="utf-8"?>
<sst xmlns="http://schemas.openxmlformats.org/spreadsheetml/2006/main" count="208" uniqueCount="162">
  <si>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</si>
  <si>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</si>
  <si>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</si>
  <si>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</si>
  <si>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</si>
  <si>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</si>
  <si>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</si>
  <si>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</si>
  <si>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</si>
  <si>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</si>
  <si>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[µS/t]</t>
  </si>
  <si>
    <t>deg/sec</t>
  </si>
  <si>
    <t>:1</t>
  </si>
  <si>
    <t>gear ratio</t>
  </si>
  <si>
    <t>gear box out</t>
  </si>
  <si>
    <t>motor shaft</t>
  </si>
  <si>
    <t>[sec]</t>
  </si>
  <si>
    <t>0 … 2^23-512</t>
  </si>
  <si>
    <t>Hz</t>
  </si>
  <si>
    <t>fCLK</t>
  </si>
  <si>
    <t>Parameters and settings</t>
  </si>
  <si>
    <t xml:space="preserve"> 2^24/fCLK</t>
  </si>
  <si>
    <t>µStepresolution (256)</t>
  </si>
  <si>
    <t>Usage:</t>
  </si>
  <si>
    <t>File :</t>
  </si>
  <si>
    <t>Date</t>
  </si>
  <si>
    <t>Comment</t>
  </si>
  <si>
    <t>THIS CODE AND INFORMATION IS PROVIDED "AS IS" WITHOUT WARRANTY OF ANY  KIND, EITHER EXPRESSED OR IMPLIED.</t>
  </si>
  <si>
    <t>fCLK[MHz] :=</t>
  </si>
  <si>
    <t>tCLK[s] =</t>
  </si>
  <si>
    <t>VM[V] :=</t>
  </si>
  <si>
    <t>Icoil (peak)[A] :=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</si>
  <si>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</si>
  <si>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</si>
  <si>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</si>
  <si>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</si>
  <si>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</si>
  <si>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</si>
  <si>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</si>
  <si>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fCHOP[kHz]=</t>
  </si>
  <si>
    <t>MOSFET data for 25°C</t>
  </si>
  <si>
    <t>RON_highside[Ohm]:=</t>
  </si>
  <si>
    <t>you may want to use worst case values</t>
  </si>
  <si>
    <t>RON_lowside[Ohm]:=</t>
  </si>
  <si>
    <t>Assume maximum die temperature in your application within the device limits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</si>
  <si>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</si>
  <si>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</si>
  <si>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</si>
  <si>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</si>
  <si>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</si>
  <si>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</si>
  <si>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</si>
  <si>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</si>
  <si>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</si>
  <si>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</si>
  <si>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</si>
  <si>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</si>
  <si>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</si>
  <si>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</si>
  <si>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</si>
  <si>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</si>
  <si>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</si>
  <si>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</si>
  <si>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</si>
  <si>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</si>
  <si>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</si>
  <si>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</si>
  <si>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System clock frequency</t>
  </si>
  <si>
    <t>for complete two fullbridges (per motor)</t>
  </si>
  <si>
    <t>Power consumption from VSA at VS voltage</t>
  </si>
  <si>
    <t>P for this chip [W]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</si>
  <si>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</si>
  <si>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</si>
  <si>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</si>
  <si>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</si>
  <si>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Calculationof power dissipation</t>
  </si>
  <si>
    <t>Chip Temperature [°C] :=</t>
  </si>
  <si>
    <t>Driver IC</t>
  </si>
  <si>
    <t>Motor data</t>
  </si>
  <si>
    <t>mV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</si>
  <si>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</si>
  <si>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</si>
  <si>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RMS current [A]</t>
  </si>
  <si>
    <t>&lt;0,1W: 0603 resistor is OK</t>
  </si>
  <si>
    <t>&lt;0,25W: 0805 resistor is OK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</si>
  <si>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</si>
  <si>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</si>
  <si>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</si>
  <si>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</si>
  <si>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</si>
  <si>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</si>
  <si>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</si>
  <si>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</si>
  <si>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</si>
  <si>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This spreadsheet allows the calculation of the power dissipation of the driver IC and sense resistors</t>
  </si>
  <si>
    <t>DC coil resistance</t>
  </si>
  <si>
    <t>Dutycycle Highside=</t>
  </si>
  <si>
    <t>The calculation sheet assumes operation with spread cycle chopper at medium motor velocity, which is a typical worst case scenario.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</si>
  <si>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</si>
  <si>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</si>
  <si>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</si>
  <si>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</si>
  <si>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</si>
  <si>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</si>
  <si>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</si>
  <si>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P_LinRegulator[W]=</t>
  </si>
  <si>
    <t>This spreadsheet allows the calculation of target velocity and TSTEP time for the internal pulse generator of the TMC220x/TMC222x</t>
  </si>
  <si>
    <r>
      <t xml:space="preserve">Chopper frequency calculated for lowest good hysteresis setting using </t>
    </r>
    <r>
      <rPr>
        <i/>
        <sz val="11"/>
        <color theme="1"/>
        <rFont val="Calibri"/>
        <family val="2"/>
        <scheme val="minor"/>
      </rPr>
      <t>spreadCycle</t>
    </r>
  </si>
  <si>
    <t>VSRT</t>
  </si>
  <si>
    <t>mOhm</t>
  </si>
  <si>
    <t>Additional resistance PCB trace</t>
  </si>
  <si>
    <t>Additional resistance package</t>
  </si>
  <si>
    <t>VACTUAL</t>
  </si>
  <si>
    <t>2019-JUL-31</t>
  </si>
  <si>
    <t>TMC2300_Calculations.xlsx</t>
  </si>
  <si>
    <t xml:space="preserve">Initial version </t>
  </si>
  <si>
    <t>The chopper frequency depends on the clock frequency and on the setting</t>
  </si>
  <si>
    <t>The duty cycle describes the time of a chopper period, where a high side MOSFET is on, for stealthChop, this is 50%</t>
  </si>
  <si>
    <t>1. VACTUAL to real world units</t>
  </si>
  <si>
    <t>2. real world units to VACTUAL</t>
  </si>
  <si>
    <t>3. real world units (gearbox) to VACTUAL</t>
  </si>
  <si>
    <t>4. VACTUAL to TSTEP</t>
  </si>
  <si>
    <t>1. Enter the system values like supply voltage, chopper frequency (if changed) as well as motor parameters into the fields highlighted yellow.</t>
  </si>
  <si>
    <t>Assumed die temperature under worst case</t>
  </si>
  <si>
    <t>Hint: The clock frequency is not calibrated - thus, resulting velocity can vary with +-20%</t>
  </si>
  <si>
    <t>2019-SEP-23</t>
  </si>
  <si>
    <t>Added CRC calculation</t>
  </si>
  <si>
    <t>Hint (CS=31, i.e. max. current setting)</t>
  </si>
  <si>
    <t>Use for duty cycle limited operation, only</t>
  </si>
  <si>
    <t>Max. RMS sense resistor power [W]</t>
  </si>
  <si>
    <t>Calculation of the CRC Byte</t>
  </si>
  <si>
    <t>Sync byte (fix)</t>
  </si>
  <si>
    <t>Address (0-3)</t>
  </si>
  <si>
    <t>00</t>
  </si>
  <si>
    <t>01</t>
  </si>
  <si>
    <t>14</t>
  </si>
  <si>
    <t>05</t>
  </si>
  <si>
    <t>Write Datagram Dec:</t>
  </si>
  <si>
    <t>Acc. CRC</t>
  </si>
  <si>
    <t>Input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</si>
  <si>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</si>
  <si>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</si>
  <si>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</si>
  <si>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</si>
  <si>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</si>
  <si>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</si>
  <si>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</si>
  <si>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</si>
  <si>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Register for Read</t>
  </si>
  <si>
    <t>Write Access</t>
  </si>
  <si>
    <t>Read Access</t>
  </si>
  <si>
    <t>6</t>
  </si>
  <si>
    <t>0</t>
  </si>
  <si>
    <t>Read Datagram Dec:</t>
  </si>
  <si>
    <t xml:space="preserve">Read Datagram Hex with CRC: </t>
  </si>
  <si>
    <t xml:space="preserve">Write Datagram Hex with CRC: </t>
  </si>
  <si>
    <t>CRC</t>
  </si>
  <si>
    <t>Register for Write</t>
  </si>
  <si>
    <t>data 3</t>
  </si>
  <si>
    <t>data 2</t>
  </si>
  <si>
    <t>data 1</t>
  </si>
  <si>
    <t>data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</si>
</sst>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65" fontId="0" fillId="0" borderId="0" xfId="0" applyNumberFormat="1"/>
    <xf numFmtId="0" fontId="9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9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4" fillId="0" borderId="0" xfId="0" applyFont="1" applyFill="1"/>
    <xf numFmtId="1" fontId="0" fillId="0" borderId="0" xfId="0" applyNumberFormat="1" applyFill="1"/>
    <xf numFmtId="0" fontId="10" fillId="0" borderId="0" xfId="0" applyFont="1"/>
    <xf numFmtId="2" fontId="7" fillId="0" borderId="0" xfId="0" applyNumberFormat="1" applyFont="1"/>
    <xf numFmtId="0" fontId="0" fillId="0" borderId="0" xfId="0" applyFill="1"/>
    <xf numFmtId="0" fontId="0" fillId="0" borderId="0" xfId="0" quotePrefix="1" applyFill="1"/>
    <xf numFmtId="0" fontId="4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0" fontId="0" fillId="0" borderId="0" xfId="0" applyFont="1" applyFill="1"/>
    <xf numFmtId="2" fontId="1" fillId="0" borderId="0" xfId="0" applyNumberFormat="1" applyFont="1" applyFill="1"/>
    <xf numFmtId="165" fontId="4" fillId="0" borderId="0" xfId="0" applyNumberFormat="1" applyFont="1" applyFill="1"/>
    <xf numFmtId="0" fontId="6" fillId="2" borderId="0" xfId="0" applyFont="1" applyFill="1"/>
    <xf numFmtId="0" fontId="3" fillId="2" borderId="0" xfId="0" applyFont="1" applyFill="1"/>
    <xf numFmtId="0" fontId="6" fillId="4" borderId="0" xfId="0" applyFont="1" applyFill="1"/>
    <xf numFmtId="0" fontId="3" fillId="4" borderId="0" xfId="0" applyFont="1" applyFill="1"/>
    <xf numFmtId="0" fontId="0" fillId="4" borderId="0" xfId="0" applyFill="1"/>
    <xf numFmtId="0" fontId="0" fillId="2" borderId="1" xfId="0" applyFill="1" applyBorder="1"/>
    <xf numFmtId="2" fontId="0" fillId="4" borderId="1" xfId="0" applyNumberFormat="1" applyFont="1" applyFill="1" applyBorder="1"/>
    <xf numFmtId="1" fontId="0" fillId="4" borderId="1" xfId="0" applyNumberFormat="1" applyFont="1" applyFill="1" applyBorder="1"/>
    <xf numFmtId="0" fontId="4" fillId="2" borderId="1" xfId="0" applyFont="1" applyFill="1" applyBorder="1"/>
    <xf numFmtId="2" fontId="0" fillId="2" borderId="1" xfId="0" applyNumberFormat="1" applyFill="1" applyBorder="1"/>
    <xf numFmtId="1" fontId="4" fillId="2" borderId="1" xfId="0" applyNumberFormat="1" applyFont="1" applyFill="1" applyBorder="1"/>
    <xf numFmtId="165" fontId="4" fillId="2" borderId="1" xfId="0" applyNumberFormat="1" applyFont="1" applyFill="1" applyBorder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0" xfId="0" applyNumberFormat="1" applyFont="1" applyFill="1"/>
    <xf numFmtId="0" fontId="0" fillId="0" borderId="0" xfId="0" applyFill="1" applyBorder="1"/>
    <xf numFmtId="2" fontId="4" fillId="0" borderId="0" xfId="0" applyNumberFormat="1" applyFont="1" applyFill="1" applyBorder="1"/>
    <xf numFmtId="2" fontId="8" fillId="2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0" borderId="3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Border="1"/>
    <xf numFmtId="0" fontId="14" fillId="0" borderId="0" xfId="0" applyFont="1"/>
    <xf numFmtId="0" fontId="0" fillId="5" borderId="0" xfId="0" applyFill="1"/>
    <xf numFmtId="0" fontId="0" fillId="5" borderId="0" xfId="0" applyNumberFormat="1" applyFill="1"/>
    <xf numFmtId="1" fontId="0" fillId="5" borderId="0" xfId="0" applyNumberFormat="1" applyFill="1"/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6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K10" sqref="K10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9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5" t="s">
        <v>106</v>
      </c>
      <c r="B1" s="6"/>
      <c r="C1" s="6"/>
      <c r="D1" s="6"/>
      <c r="E1" s="6"/>
      <c r="F1" s="6"/>
      <c r="G1" s="6"/>
      <c r="H1" s="6"/>
    </row>
    <row r="2" spans="1:11" ht="18" x14ac:dyDescent="0.35">
      <c r="A2" s="5"/>
      <c r="B2" s="6"/>
      <c r="C2" s="6"/>
      <c r="D2" s="6"/>
      <c r="E2" s="6"/>
      <c r="F2" s="6"/>
      <c r="G2" s="6"/>
      <c r="H2" s="6"/>
    </row>
    <row r="3" spans="1:11" ht="18" x14ac:dyDescent="0.35">
      <c r="A3" s="10" t="s">
        <v>23</v>
      </c>
      <c r="B3" s="40" t="s">
        <v>72</v>
      </c>
      <c r="C3" s="41"/>
      <c r="D3" s="41"/>
      <c r="E3" s="41"/>
      <c r="F3" s="41"/>
      <c r="G3" s="41"/>
      <c r="H3" s="41"/>
      <c r="I3" s="19"/>
      <c r="J3" s="19"/>
      <c r="K3" s="19"/>
    </row>
    <row r="4" spans="1:11" ht="18" x14ac:dyDescent="0.35">
      <c r="A4" s="10"/>
      <c r="B4" s="42" t="s">
        <v>66</v>
      </c>
      <c r="C4" s="43"/>
      <c r="D4" s="43"/>
      <c r="E4" s="43"/>
      <c r="F4" s="43"/>
      <c r="G4" s="43"/>
      <c r="H4" s="43"/>
      <c r="I4" s="44"/>
      <c r="J4" s="44"/>
      <c r="K4" s="44"/>
    </row>
    <row r="6" spans="1:11" x14ac:dyDescent="0.3">
      <c r="A6" s="4" t="s">
        <v>20</v>
      </c>
    </row>
    <row r="7" spans="1:11" x14ac:dyDescent="0.3">
      <c r="B7" s="45">
        <v>60</v>
      </c>
      <c r="C7" t="s">
        <v>102</v>
      </c>
      <c r="D7" t="s">
        <v>101</v>
      </c>
      <c r="F7" t="s">
        <v>8</v>
      </c>
      <c r="G7" s="2" t="s">
        <v>9</v>
      </c>
      <c r="H7" t="s">
        <v>21</v>
      </c>
      <c r="I7" s="2" t="s">
        <v>9</v>
      </c>
      <c r="J7" s="1">
        <f>2^24/H9</f>
        <v>1.3981013333333334</v>
      </c>
      <c r="K7" t="s">
        <v>16</v>
      </c>
    </row>
    <row r="8" spans="1:11" x14ac:dyDescent="0.3">
      <c r="B8" s="9">
        <v>256</v>
      </c>
      <c r="C8" t="s">
        <v>2</v>
      </c>
      <c r="D8" t="s">
        <v>22</v>
      </c>
      <c r="F8" t="s">
        <v>112</v>
      </c>
      <c r="G8" s="2" t="s">
        <v>9</v>
      </c>
      <c r="H8" t="s">
        <v>17</v>
      </c>
      <c r="J8" t="s">
        <v>10</v>
      </c>
    </row>
    <row r="9" spans="1:11" x14ac:dyDescent="0.3">
      <c r="B9" s="48">
        <v>1.8</v>
      </c>
      <c r="C9" s="31" t="s">
        <v>1</v>
      </c>
      <c r="D9" s="31" t="s">
        <v>4</v>
      </c>
      <c r="F9" s="31" t="s">
        <v>19</v>
      </c>
      <c r="G9" s="32" t="s">
        <v>9</v>
      </c>
      <c r="H9" s="48">
        <v>12000000</v>
      </c>
      <c r="I9" s="31"/>
      <c r="J9" s="31" t="s">
        <v>18</v>
      </c>
      <c r="K9" s="55" t="s">
        <v>124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48">
        <v>1</v>
      </c>
      <c r="C12" s="32" t="s">
        <v>12</v>
      </c>
      <c r="D12" s="31" t="s">
        <v>13</v>
      </c>
    </row>
    <row r="14" spans="1:11" x14ac:dyDescent="0.3">
      <c r="A14" s="4" t="s">
        <v>118</v>
      </c>
      <c r="C14" s="4"/>
      <c r="D14" s="4"/>
    </row>
    <row r="15" spans="1:11" x14ac:dyDescent="0.3">
      <c r="B15" s="47">
        <f>B25</f>
        <v>71582.78826666667</v>
      </c>
      <c r="C15" t="s">
        <v>112</v>
      </c>
      <c r="D15" t="s">
        <v>10</v>
      </c>
      <c r="F15" t="s">
        <v>103</v>
      </c>
    </row>
    <row r="16" spans="1:11" x14ac:dyDescent="0.3">
      <c r="B16" s="3">
        <f>B15/$J$7/$B$11</f>
        <v>1</v>
      </c>
      <c r="C16" t="s">
        <v>0</v>
      </c>
      <c r="D16" t="s">
        <v>15</v>
      </c>
    </row>
    <row r="17" spans="1:6" x14ac:dyDescent="0.3">
      <c r="B17" s="3">
        <f>B16*360</f>
        <v>360</v>
      </c>
      <c r="C17" t="s">
        <v>11</v>
      </c>
      <c r="D17" t="s">
        <v>15</v>
      </c>
    </row>
    <row r="18" spans="1:6" x14ac:dyDescent="0.3">
      <c r="B18" s="3">
        <f>B17/$B$12</f>
        <v>360</v>
      </c>
      <c r="C18" t="s">
        <v>11</v>
      </c>
      <c r="D18" t="s">
        <v>14</v>
      </c>
    </row>
    <row r="19" spans="1:6" x14ac:dyDescent="0.3">
      <c r="B19" s="3">
        <f>B15*H9/2^24</f>
        <v>51200</v>
      </c>
      <c r="C19" t="s">
        <v>18</v>
      </c>
      <c r="D19" t="s">
        <v>104</v>
      </c>
    </row>
    <row r="20" spans="1:6" x14ac:dyDescent="0.3">
      <c r="B20" s="8">
        <f>B18/360</f>
        <v>1</v>
      </c>
      <c r="C20" s="4" t="s">
        <v>0</v>
      </c>
      <c r="D20" s="4" t="s">
        <v>14</v>
      </c>
    </row>
    <row r="21" spans="1:6" x14ac:dyDescent="0.3">
      <c r="B21" s="8"/>
      <c r="C21" s="4"/>
      <c r="D21" s="4"/>
    </row>
    <row r="22" spans="1:6" x14ac:dyDescent="0.3">
      <c r="A22" s="4" t="s">
        <v>119</v>
      </c>
      <c r="C22" s="4"/>
      <c r="D22" s="4"/>
    </row>
    <row r="23" spans="1:6" x14ac:dyDescent="0.3">
      <c r="B23" s="46">
        <f>B7/60</f>
        <v>1</v>
      </c>
      <c r="C23" t="s">
        <v>0</v>
      </c>
      <c r="D23" t="s">
        <v>15</v>
      </c>
      <c r="F23" t="s">
        <v>100</v>
      </c>
    </row>
    <row r="24" spans="1:6" x14ac:dyDescent="0.3">
      <c r="B24" s="3">
        <f>B23*360</f>
        <v>360</v>
      </c>
      <c r="C24" t="s">
        <v>11</v>
      </c>
      <c r="D24" t="s">
        <v>15</v>
      </c>
    </row>
    <row r="25" spans="1:6" x14ac:dyDescent="0.3">
      <c r="B25" s="7">
        <f>B23*$B$11*$J$7</f>
        <v>71582.78826666667</v>
      </c>
      <c r="C25" s="4" t="s">
        <v>112</v>
      </c>
      <c r="D25" t="s">
        <v>10</v>
      </c>
    </row>
    <row r="26" spans="1:6" x14ac:dyDescent="0.3">
      <c r="B26" s="7"/>
      <c r="C26" s="4"/>
    </row>
    <row r="27" spans="1:6" x14ac:dyDescent="0.3">
      <c r="A27" s="4" t="s">
        <v>120</v>
      </c>
      <c r="C27" s="4"/>
      <c r="D27" s="4"/>
    </row>
    <row r="28" spans="1:6" x14ac:dyDescent="0.3">
      <c r="A28" s="4"/>
      <c r="B28" s="46">
        <f>B23</f>
        <v>1</v>
      </c>
      <c r="C28" t="s">
        <v>0</v>
      </c>
      <c r="D28" t="s">
        <v>14</v>
      </c>
    </row>
    <row r="29" spans="1:6" x14ac:dyDescent="0.3">
      <c r="B29" s="3">
        <f>B28*360</f>
        <v>360</v>
      </c>
      <c r="C29" t="s">
        <v>11</v>
      </c>
      <c r="D29" t="s">
        <v>14</v>
      </c>
    </row>
    <row r="30" spans="1:6" x14ac:dyDescent="0.3">
      <c r="B30" s="3">
        <f>B28*B12</f>
        <v>1</v>
      </c>
      <c r="C30" t="s">
        <v>0</v>
      </c>
      <c r="D30" t="s">
        <v>15</v>
      </c>
    </row>
    <row r="31" spans="1:6" x14ac:dyDescent="0.3">
      <c r="B31" s="3">
        <f>B30*360</f>
        <v>360</v>
      </c>
      <c r="C31" t="s">
        <v>11</v>
      </c>
      <c r="D31" t="s">
        <v>15</v>
      </c>
    </row>
    <row r="32" spans="1:6" x14ac:dyDescent="0.3">
      <c r="B32" s="7">
        <f>B30*$B$11*$J$7</f>
        <v>71582.78826666667</v>
      </c>
      <c r="C32" s="4" t="s">
        <v>112</v>
      </c>
      <c r="D32" s="4" t="s">
        <v>10</v>
      </c>
    </row>
    <row r="34" spans="1:4" x14ac:dyDescent="0.3">
      <c r="A34" s="4" t="s">
        <v>121</v>
      </c>
      <c r="C34" s="4"/>
      <c r="D34" s="4"/>
    </row>
    <row r="35" spans="1:4" x14ac:dyDescent="0.3">
      <c r="B35" s="47">
        <f>B15</f>
        <v>71582.78826666667</v>
      </c>
      <c r="C35" t="s">
        <v>112</v>
      </c>
      <c r="D35" t="s">
        <v>10</v>
      </c>
    </row>
    <row r="36" spans="1:4" x14ac:dyDescent="0.3">
      <c r="B36" s="7">
        <f>MIN((2^20-1),2^24/B35*B8/256)</f>
        <v>234.375</v>
      </c>
      <c r="C36" s="4" t="s">
        <v>98</v>
      </c>
      <c r="D36" t="s">
        <v>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workbookViewId="0">
      <selection activeCell="C11" sqref="C11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6" customFormat="1" ht="18" x14ac:dyDescent="0.35">
      <c r="A1" s="5" t="s">
        <v>94</v>
      </c>
    </row>
    <row r="2" spans="1:8" x14ac:dyDescent="0.3">
      <c r="A2" s="23" t="s">
        <v>97</v>
      </c>
      <c r="B2" s="18"/>
    </row>
    <row r="3" spans="1:8" x14ac:dyDescent="0.3">
      <c r="A3" s="23"/>
      <c r="B3" s="18"/>
    </row>
    <row r="4" spans="1:8" x14ac:dyDescent="0.3">
      <c r="A4" s="4" t="s">
        <v>23</v>
      </c>
      <c r="B4" s="19" t="s">
        <v>122</v>
      </c>
      <c r="C4" s="19"/>
      <c r="D4" s="19"/>
      <c r="E4" s="19"/>
      <c r="F4" s="19"/>
      <c r="G4" s="19"/>
      <c r="H4" s="19"/>
    </row>
    <row r="5" spans="1:8" x14ac:dyDescent="0.3">
      <c r="A5" s="4"/>
      <c r="B5" t="s">
        <v>73</v>
      </c>
    </row>
    <row r="6" spans="1:8" x14ac:dyDescent="0.3">
      <c r="A6" s="4"/>
    </row>
    <row r="7" spans="1:8" x14ac:dyDescent="0.3">
      <c r="B7" s="17"/>
    </row>
    <row r="8" spans="1:8" x14ac:dyDescent="0.3">
      <c r="A8" s="4" t="s">
        <v>67</v>
      </c>
      <c r="B8" s="17" t="s">
        <v>28</v>
      </c>
      <c r="C8" s="55">
        <v>12</v>
      </c>
      <c r="E8" s="24" t="s">
        <v>34</v>
      </c>
      <c r="F8" s="19"/>
      <c r="G8" s="19"/>
      <c r="H8" s="19"/>
    </row>
    <row r="9" spans="1:8" x14ac:dyDescent="0.3">
      <c r="B9" s="17" t="s">
        <v>29</v>
      </c>
      <c r="C9">
        <f>1/(1000000*C8)</f>
        <v>8.3333333333333338E-8</v>
      </c>
    </row>
    <row r="10" spans="1:8" x14ac:dyDescent="0.3">
      <c r="B10" s="17"/>
    </row>
    <row r="11" spans="1:8" x14ac:dyDescent="0.3">
      <c r="A11" s="4" t="s">
        <v>35</v>
      </c>
      <c r="B11" s="17" t="s">
        <v>30</v>
      </c>
      <c r="C11" s="45">
        <v>8</v>
      </c>
    </row>
    <row r="12" spans="1:8" x14ac:dyDescent="0.3">
      <c r="B12" s="17"/>
      <c r="C12" s="4" t="s">
        <v>78</v>
      </c>
      <c r="D12" s="34"/>
    </row>
    <row r="13" spans="1:8" x14ac:dyDescent="0.3">
      <c r="A13" s="4" t="s">
        <v>36</v>
      </c>
      <c r="B13" s="17" t="s">
        <v>31</v>
      </c>
      <c r="C13" s="55">
        <f>1.41*C14</f>
        <v>1.41</v>
      </c>
      <c r="D13" s="31"/>
      <c r="E13" t="s">
        <v>37</v>
      </c>
    </row>
    <row r="14" spans="1:8" x14ac:dyDescent="0.3">
      <c r="B14" s="17" t="s">
        <v>38</v>
      </c>
      <c r="C14" s="49">
        <v>1</v>
      </c>
      <c r="D14" s="25"/>
      <c r="E14" t="s">
        <v>85</v>
      </c>
    </row>
    <row r="15" spans="1:8" x14ac:dyDescent="0.3">
      <c r="A15" s="4" t="s">
        <v>91</v>
      </c>
      <c r="B15" s="17" t="s">
        <v>92</v>
      </c>
      <c r="C15" s="45">
        <v>4.5</v>
      </c>
      <c r="D15" s="25"/>
      <c r="E15" t="s">
        <v>95</v>
      </c>
    </row>
    <row r="16" spans="1:8" ht="18.600000000000001" customHeight="1" x14ac:dyDescent="0.3">
      <c r="B16" s="17"/>
      <c r="C16" s="25"/>
      <c r="D16" s="25"/>
    </row>
    <row r="17" spans="1:7" ht="28.8" x14ac:dyDescent="0.3">
      <c r="A17" s="26" t="s">
        <v>107</v>
      </c>
      <c r="B17" s="52" t="s">
        <v>39</v>
      </c>
      <c r="C17" s="57">
        <v>35.1</v>
      </c>
      <c r="D17" s="25"/>
      <c r="E17" t="s">
        <v>116</v>
      </c>
    </row>
    <row r="18" spans="1:7" ht="28.8" x14ac:dyDescent="0.3">
      <c r="A18" s="26" t="s">
        <v>93</v>
      </c>
      <c r="B18" s="33" t="s">
        <v>96</v>
      </c>
      <c r="C18" s="56">
        <v>0.5</v>
      </c>
      <c r="D18" s="25"/>
      <c r="E18" t="s">
        <v>117</v>
      </c>
    </row>
    <row r="19" spans="1:7" x14ac:dyDescent="0.3">
      <c r="B19" s="17"/>
      <c r="C19" s="25"/>
    </row>
    <row r="20" spans="1:7" x14ac:dyDescent="0.3">
      <c r="B20" s="17"/>
      <c r="C20" s="36" t="s">
        <v>77</v>
      </c>
      <c r="D20" s="34"/>
      <c r="E20" s="34"/>
    </row>
    <row r="21" spans="1:7" x14ac:dyDescent="0.3">
      <c r="A21" s="4" t="s">
        <v>75</v>
      </c>
      <c r="B21" s="17"/>
      <c r="C21" s="4"/>
      <c r="D21" s="4"/>
      <c r="E21" s="4"/>
    </row>
    <row r="22" spans="1:7" x14ac:dyDescent="0.3">
      <c r="A22" t="s">
        <v>40</v>
      </c>
      <c r="B22" s="17" t="s">
        <v>41</v>
      </c>
      <c r="C22">
        <v>0.17</v>
      </c>
      <c r="E22" s="27"/>
    </row>
    <row r="23" spans="1:7" x14ac:dyDescent="0.3">
      <c r="A23" s="21" t="s">
        <v>42</v>
      </c>
      <c r="B23" s="17" t="s">
        <v>43</v>
      </c>
      <c r="C23">
        <v>0.17</v>
      </c>
      <c r="E23" s="27"/>
    </row>
    <row r="24" spans="1:7" x14ac:dyDescent="0.3">
      <c r="B24" s="17"/>
      <c r="E24" s="27"/>
    </row>
    <row r="25" spans="1:7" x14ac:dyDescent="0.3">
      <c r="A25" t="s">
        <v>123</v>
      </c>
      <c r="B25" s="17" t="s">
        <v>76</v>
      </c>
      <c r="C25" s="50">
        <v>70</v>
      </c>
      <c r="D25" s="28"/>
      <c r="E25" s="31"/>
      <c r="G25" t="s">
        <v>44</v>
      </c>
    </row>
    <row r="26" spans="1:7" x14ac:dyDescent="0.3">
      <c r="B26" s="17" t="s">
        <v>45</v>
      </c>
      <c r="C26" s="3">
        <f>0.14*(1+(0.55*(C25-25)/100))+0.03</f>
        <v>0.20465000000000003</v>
      </c>
      <c r="D26" s="3"/>
      <c r="E26" s="20"/>
    </row>
    <row r="27" spans="1:7" x14ac:dyDescent="0.3">
      <c r="B27" s="17" t="s">
        <v>46</v>
      </c>
      <c r="C27" s="3">
        <f>0.14*(1+(0.55*(C25-25)/100))+0.03</f>
        <v>0.20465000000000003</v>
      </c>
      <c r="D27" s="3"/>
      <c r="E27" s="20"/>
    </row>
    <row r="28" spans="1:7" x14ac:dyDescent="0.3">
      <c r="B28" s="15"/>
      <c r="C28" s="3"/>
      <c r="D28" s="3"/>
      <c r="E28" s="20"/>
    </row>
    <row r="29" spans="1:7" x14ac:dyDescent="0.3">
      <c r="A29" t="s">
        <v>47</v>
      </c>
      <c r="B29" s="17" t="s">
        <v>48</v>
      </c>
      <c r="C29" s="22">
        <v>20</v>
      </c>
      <c r="D29" s="22"/>
      <c r="E29" s="28"/>
      <c r="G29" t="s">
        <v>49</v>
      </c>
    </row>
    <row r="30" spans="1:7" x14ac:dyDescent="0.3">
      <c r="B30" s="17" t="s">
        <v>50</v>
      </c>
      <c r="C30" s="22">
        <v>20</v>
      </c>
      <c r="D30" s="22"/>
      <c r="E30" s="28"/>
    </row>
    <row r="31" spans="1:7" x14ac:dyDescent="0.3">
      <c r="B31" s="17" t="s">
        <v>51</v>
      </c>
      <c r="C31" s="22">
        <v>20</v>
      </c>
      <c r="D31" s="22"/>
      <c r="E31" s="22"/>
    </row>
    <row r="32" spans="1:7" x14ac:dyDescent="0.3">
      <c r="B32" s="17" t="s">
        <v>52</v>
      </c>
      <c r="C32" s="22">
        <v>7</v>
      </c>
      <c r="D32" s="22"/>
      <c r="E32" s="22"/>
    </row>
    <row r="33" spans="1:7" x14ac:dyDescent="0.3">
      <c r="B33" s="17"/>
      <c r="C33" s="22"/>
      <c r="D33" s="22"/>
      <c r="E33" s="22"/>
    </row>
    <row r="34" spans="1:7" x14ac:dyDescent="0.3">
      <c r="A34" s="37" t="s">
        <v>53</v>
      </c>
      <c r="B34" s="17" t="s">
        <v>54</v>
      </c>
      <c r="C34" s="3">
        <f>C26*($C$14^2)*$C$18</f>
        <v>0.10232500000000001</v>
      </c>
      <c r="D34" s="3"/>
      <c r="E34" s="3"/>
    </row>
    <row r="35" spans="1:7" x14ac:dyDescent="0.3">
      <c r="A35" s="13" t="s">
        <v>55</v>
      </c>
      <c r="B35" s="17" t="s">
        <v>56</v>
      </c>
      <c r="C35" s="20">
        <f>$C$17*1000*((C31+C30)/1000000000)*$C$11*$C$14*1/2</f>
        <v>5.6160000000000003E-3</v>
      </c>
      <c r="D35" s="20"/>
      <c r="E35" s="20"/>
    </row>
    <row r="36" spans="1:7" x14ac:dyDescent="0.3">
      <c r="A36" s="31" t="s">
        <v>57</v>
      </c>
      <c r="B36" s="15" t="s">
        <v>58</v>
      </c>
      <c r="C36" s="35">
        <f>C34+C35</f>
        <v>0.10794100000000001</v>
      </c>
      <c r="D36" s="35"/>
      <c r="E36" s="35"/>
      <c r="G36" s="29"/>
    </row>
    <row r="37" spans="1:7" x14ac:dyDescent="0.3">
      <c r="B37" s="17" t="s">
        <v>59</v>
      </c>
      <c r="C37" s="3">
        <f>(1-$C$18)*($C$14^2)*C27</f>
        <v>0.10232500000000001</v>
      </c>
      <c r="D37" s="3"/>
      <c r="E37" s="3"/>
    </row>
    <row r="38" spans="1:7" x14ac:dyDescent="0.3">
      <c r="B38" s="17" t="s">
        <v>60</v>
      </c>
      <c r="C38" s="20">
        <f>C17*1000*((C32+C29)/1000000000)*$C$11*C14*1/2</f>
        <v>3.7908E-3</v>
      </c>
      <c r="D38" s="20"/>
      <c r="E38" s="20"/>
    </row>
    <row r="39" spans="1:7" x14ac:dyDescent="0.3">
      <c r="A39" s="31" t="s">
        <v>57</v>
      </c>
      <c r="B39" s="15" t="s">
        <v>61</v>
      </c>
      <c r="C39" s="35">
        <f>C37+C38</f>
        <v>0.10611580000000001</v>
      </c>
      <c r="D39" s="35"/>
      <c r="E39" s="35"/>
      <c r="G39" s="29"/>
    </row>
    <row r="40" spans="1:7" x14ac:dyDescent="0.3">
      <c r="A40" s="13"/>
      <c r="B40" s="15"/>
      <c r="C40" s="35"/>
      <c r="D40" s="35"/>
      <c r="E40" s="35"/>
    </row>
    <row r="41" spans="1:7" x14ac:dyDescent="0.3">
      <c r="A41" t="s">
        <v>62</v>
      </c>
      <c r="B41" s="15" t="s">
        <v>63</v>
      </c>
      <c r="C41" s="35">
        <f>2*C37+C38+2*C34+C35</f>
        <v>0.4187068000000001</v>
      </c>
      <c r="D41" s="35"/>
      <c r="E41" s="35"/>
    </row>
    <row r="42" spans="1:7" x14ac:dyDescent="0.3">
      <c r="A42" s="34" t="s">
        <v>68</v>
      </c>
      <c r="B42" s="15" t="s">
        <v>64</v>
      </c>
      <c r="C42" s="35">
        <f>2*C41</f>
        <v>0.8374136000000002</v>
      </c>
      <c r="D42" s="35"/>
      <c r="E42" s="35"/>
      <c r="G42" s="29"/>
    </row>
    <row r="43" spans="1:7" x14ac:dyDescent="0.3">
      <c r="A43" s="34" t="s">
        <v>69</v>
      </c>
      <c r="B43" s="17" t="s">
        <v>105</v>
      </c>
      <c r="C43" s="35">
        <f>C11*(0.007)</f>
        <v>5.6000000000000001E-2</v>
      </c>
      <c r="D43" s="35"/>
      <c r="E43" s="35"/>
      <c r="G43" s="29"/>
    </row>
    <row r="44" spans="1:7" x14ac:dyDescent="0.3">
      <c r="A44" s="34"/>
      <c r="B44" s="14"/>
      <c r="C44" s="8"/>
      <c r="D44" s="8"/>
      <c r="E44" s="8"/>
      <c r="G44" s="29"/>
    </row>
    <row r="45" spans="1:7" x14ac:dyDescent="0.3">
      <c r="A45" s="34" t="s">
        <v>71</v>
      </c>
      <c r="B45" s="14" t="s">
        <v>70</v>
      </c>
      <c r="C45" s="36">
        <f>C42+C43</f>
        <v>0.89341360000000025</v>
      </c>
      <c r="E45" s="38"/>
    </row>
    <row r="46" spans="1:7" x14ac:dyDescent="0.3">
      <c r="A46" s="34"/>
      <c r="B46" s="14"/>
      <c r="C46" s="8"/>
      <c r="E46" s="8"/>
    </row>
    <row r="48" spans="1:7" x14ac:dyDescent="0.3">
      <c r="A48" s="34" t="s">
        <v>74</v>
      </c>
      <c r="B48" s="17" t="s">
        <v>65</v>
      </c>
      <c r="C48" s="51">
        <v>0.15</v>
      </c>
      <c r="D48" s="39"/>
      <c r="E48" t="s">
        <v>86</v>
      </c>
    </row>
    <row r="49" spans="1:7" x14ac:dyDescent="0.3">
      <c r="B49" s="53" t="s">
        <v>88</v>
      </c>
      <c r="C49" s="54">
        <f>C$48*C$14^2*C$18</f>
        <v>7.4999999999999997E-2</v>
      </c>
      <c r="D49" s="38"/>
      <c r="E49" s="9" t="s">
        <v>87</v>
      </c>
      <c r="G49" s="29"/>
    </row>
    <row r="50" spans="1:7" x14ac:dyDescent="0.3">
      <c r="B50" s="53" t="s">
        <v>89</v>
      </c>
      <c r="C50" s="54">
        <f>C$48*C$14^2*0.7</f>
        <v>0.105</v>
      </c>
      <c r="E50" s="9" t="s">
        <v>90</v>
      </c>
    </row>
    <row r="53" spans="1:7" x14ac:dyDescent="0.3">
      <c r="A53" s="12"/>
    </row>
    <row r="54" spans="1:7" x14ac:dyDescent="0.3">
      <c r="A54" s="12"/>
    </row>
    <row r="55" spans="1:7" x14ac:dyDescent="0.3">
      <c r="A55" s="12"/>
    </row>
    <row r="56" spans="1:7" x14ac:dyDescent="0.3">
      <c r="A56" s="12"/>
    </row>
    <row r="58" spans="1:7" x14ac:dyDescent="0.3">
      <c r="A58" s="12"/>
      <c r="B58" s="3"/>
    </row>
    <row r="59" spans="1:7" x14ac:dyDescent="0.3">
      <c r="A59" s="12"/>
      <c r="B59" s="3"/>
    </row>
    <row r="60" spans="1:7" x14ac:dyDescent="0.3">
      <c r="A60" s="12"/>
      <c r="B60" s="30"/>
    </row>
    <row r="61" spans="1:7" x14ac:dyDescent="0.3">
      <c r="A61" s="12"/>
      <c r="B61" s="3"/>
    </row>
    <row r="62" spans="1:7" x14ac:dyDescent="0.3">
      <c r="A62" s="12"/>
      <c r="B62" s="3"/>
    </row>
    <row r="63" spans="1:7" x14ac:dyDescent="0.3">
      <c r="A63" s="12"/>
      <c r="B63" s="3"/>
    </row>
    <row r="64" spans="1:7" x14ac:dyDescent="0.3">
      <c r="A64" s="12"/>
      <c r="B64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D29" sqref="D29"/>
    </sheetView>
  </sheetViews>
  <sheetFormatPr baseColWidth="10" defaultRowHeight="14.4" x14ac:dyDescent="0.3"/>
  <cols>
    <col min="1" max="1" width="29.77734375" customWidth="1"/>
    <col min="2" max="2" width="17.44140625" customWidth="1"/>
    <col min="3" max="3" width="16.109375" customWidth="1"/>
    <col min="4" max="4" width="30.88671875" bestFit="1" customWidth="1"/>
    <col min="5" max="5" width="35.77734375" customWidth="1"/>
  </cols>
  <sheetData>
    <row r="1" spans="1:5" x14ac:dyDescent="0.3">
      <c r="A1" t="s">
        <v>108</v>
      </c>
      <c r="B1">
        <v>325</v>
      </c>
      <c r="C1" t="s">
        <v>79</v>
      </c>
    </row>
    <row r="2" spans="1:5" x14ac:dyDescent="0.3">
      <c r="A2" t="s">
        <v>110</v>
      </c>
      <c r="B2">
        <v>15</v>
      </c>
      <c r="C2" t="s">
        <v>109</v>
      </c>
    </row>
    <row r="3" spans="1:5" x14ac:dyDescent="0.3">
      <c r="A3" t="s">
        <v>111</v>
      </c>
      <c r="B3">
        <v>30</v>
      </c>
      <c r="C3" t="s">
        <v>109</v>
      </c>
    </row>
    <row r="6" spans="1:5" s="4" customFormat="1" ht="15" thickBot="1" x14ac:dyDescent="0.35">
      <c r="A6" s="63" t="s">
        <v>80</v>
      </c>
      <c r="B6" s="64" t="s">
        <v>81</v>
      </c>
      <c r="C6" s="64" t="s">
        <v>82</v>
      </c>
      <c r="D6" s="64" t="s">
        <v>129</v>
      </c>
      <c r="E6" s="65" t="s">
        <v>127</v>
      </c>
    </row>
    <row r="7" spans="1:5" x14ac:dyDescent="0.3">
      <c r="A7" s="60">
        <v>1.5</v>
      </c>
      <c r="B7" s="61">
        <f>$B$1/(A7+B$2/1000+B$3/1000)/1000</f>
        <v>0.21035598705501618</v>
      </c>
      <c r="C7" s="61">
        <f>B7/SQRT(2)</f>
        <v>0.14874414490979154</v>
      </c>
      <c r="D7" s="61">
        <f>A7*C7*C7</f>
        <v>3.3187230967417596E-2</v>
      </c>
      <c r="E7" s="62"/>
    </row>
    <row r="8" spans="1:5" x14ac:dyDescent="0.3">
      <c r="A8" s="45">
        <v>1.2</v>
      </c>
      <c r="B8" s="59">
        <f t="shared" ref="B8:B20" si="0">$B$1/(A8+B$2/1000+B$3/1000)/1000</f>
        <v>0.26104417670682734</v>
      </c>
      <c r="C8" s="59">
        <f t="shared" ref="C8:C9" si="1">B8/SQRT(2)</f>
        <v>0.18458610753865698</v>
      </c>
      <c r="D8" s="59">
        <f t="shared" ref="D8:D9" si="2">A8*C8*C8</f>
        <v>4.0886437315527165E-2</v>
      </c>
      <c r="E8" s="58"/>
    </row>
    <row r="9" spans="1:5" x14ac:dyDescent="0.3">
      <c r="A9" s="45">
        <v>1</v>
      </c>
      <c r="B9" s="59">
        <f t="shared" si="0"/>
        <v>0.31100478468899523</v>
      </c>
      <c r="C9" s="59">
        <f t="shared" si="1"/>
        <v>0.21991359223505066</v>
      </c>
      <c r="D9" s="59">
        <f t="shared" si="2"/>
        <v>4.8361988049724136E-2</v>
      </c>
      <c r="E9" s="58"/>
    </row>
    <row r="10" spans="1:5" x14ac:dyDescent="0.3">
      <c r="A10" s="45">
        <v>0.82</v>
      </c>
      <c r="B10" s="59">
        <f t="shared" si="0"/>
        <v>0.37572254335260119</v>
      </c>
      <c r="C10" s="59">
        <f t="shared" ref="C10:C20" si="3">B10/SQRT(2)</f>
        <v>0.26567595824928086</v>
      </c>
      <c r="D10" s="59">
        <f t="shared" ref="D10:D20" si="4">A10*C10*C10</f>
        <v>5.7878646129172373E-2</v>
      </c>
      <c r="E10" s="58"/>
    </row>
    <row r="11" spans="1:5" x14ac:dyDescent="0.3">
      <c r="A11" s="45">
        <v>0.75</v>
      </c>
      <c r="B11" s="59">
        <f t="shared" si="0"/>
        <v>0.40880503144654085</v>
      </c>
      <c r="C11" s="59">
        <f t="shared" si="3"/>
        <v>0.28906880991902884</v>
      </c>
      <c r="D11" s="59">
        <f t="shared" si="4"/>
        <v>6.2670582651002713E-2</v>
      </c>
      <c r="E11" s="58"/>
    </row>
    <row r="12" spans="1:5" x14ac:dyDescent="0.3">
      <c r="A12" s="45">
        <v>0.68</v>
      </c>
      <c r="B12" s="59">
        <f t="shared" si="0"/>
        <v>0.44827586206896547</v>
      </c>
      <c r="C12" s="59">
        <f t="shared" si="3"/>
        <v>0.31697890191121092</v>
      </c>
      <c r="D12" s="59">
        <f t="shared" si="4"/>
        <v>6.8323424494649218E-2</v>
      </c>
      <c r="E12" s="58" t="s">
        <v>83</v>
      </c>
    </row>
    <row r="13" spans="1:5" x14ac:dyDescent="0.3">
      <c r="A13" s="45">
        <v>0.5</v>
      </c>
      <c r="B13" s="59">
        <f t="shared" si="0"/>
        <v>0.59633027522935778</v>
      </c>
      <c r="C13" s="59">
        <f t="shared" si="3"/>
        <v>0.4216691814415191</v>
      </c>
      <c r="D13" s="59">
        <f t="shared" si="4"/>
        <v>8.8902449288780383E-2</v>
      </c>
      <c r="E13" s="58"/>
    </row>
    <row r="14" spans="1:5" x14ac:dyDescent="0.3">
      <c r="A14" s="45">
        <v>0.47</v>
      </c>
      <c r="B14" s="59">
        <f t="shared" si="0"/>
        <v>0.63106796116504849</v>
      </c>
      <c r="C14" s="59">
        <f t="shared" si="3"/>
        <v>0.44623243472937457</v>
      </c>
      <c r="D14" s="59">
        <f t="shared" si="4"/>
        <v>9.3587991328117598E-2</v>
      </c>
      <c r="E14" s="58"/>
    </row>
    <row r="15" spans="1:5" x14ac:dyDescent="0.3">
      <c r="A15" s="45">
        <v>0.39</v>
      </c>
      <c r="B15" s="59">
        <f t="shared" si="0"/>
        <v>0.74712643678160906</v>
      </c>
      <c r="C15" s="59">
        <f t="shared" ref="C15" si="5">B15/SQRT(2)</f>
        <v>0.52829816985201816</v>
      </c>
      <c r="D15" s="59">
        <f t="shared" ref="D15" si="6">A15*C15*C15</f>
        <v>0.10884859294490681</v>
      </c>
      <c r="E15" s="58"/>
    </row>
    <row r="16" spans="1:5" x14ac:dyDescent="0.3">
      <c r="A16" s="45">
        <v>0.33</v>
      </c>
      <c r="B16" s="59">
        <f t="shared" si="0"/>
        <v>0.86666666666666659</v>
      </c>
      <c r="C16" s="59">
        <f t="shared" si="3"/>
        <v>0.61282587702834113</v>
      </c>
      <c r="D16" s="59">
        <f t="shared" si="4"/>
        <v>0.12393333333333331</v>
      </c>
      <c r="E16" s="58"/>
    </row>
    <row r="17" spans="1:5" x14ac:dyDescent="0.3">
      <c r="A17" s="45">
        <v>0.27</v>
      </c>
      <c r="B17" s="59">
        <f t="shared" si="0"/>
        <v>1.0317460317460316</v>
      </c>
      <c r="C17" s="59">
        <f t="shared" si="3"/>
        <v>0.72955461550992984</v>
      </c>
      <c r="D17" s="59">
        <f t="shared" si="4"/>
        <v>0.14370748299319724</v>
      </c>
      <c r="E17" s="58"/>
    </row>
    <row r="18" spans="1:5" x14ac:dyDescent="0.3">
      <c r="A18" s="45">
        <v>0.22</v>
      </c>
      <c r="B18" s="59">
        <f t="shared" si="0"/>
        <v>1.2264150943396226</v>
      </c>
      <c r="C18" s="59">
        <f t="shared" ref="C18" si="7">B18/SQRT(2)</f>
        <v>0.86720642975708651</v>
      </c>
      <c r="D18" s="59">
        <f t="shared" ref="D18" si="8">A18*C18*C18</f>
        <v>0.16545033819864718</v>
      </c>
      <c r="E18" s="58"/>
    </row>
    <row r="19" spans="1:5" x14ac:dyDescent="0.3">
      <c r="A19" s="45">
        <v>0.18</v>
      </c>
      <c r="B19" s="59">
        <f t="shared" si="0"/>
        <v>1.4444444444444444</v>
      </c>
      <c r="C19" s="59">
        <f t="shared" si="3"/>
        <v>1.0213764617139018</v>
      </c>
      <c r="D19" s="59">
        <f t="shared" si="4"/>
        <v>0.18777777777777771</v>
      </c>
      <c r="E19" s="58"/>
    </row>
    <row r="20" spans="1:5" x14ac:dyDescent="0.3">
      <c r="A20" s="45">
        <v>0.15</v>
      </c>
      <c r="B20" s="59">
        <f t="shared" si="0"/>
        <v>1.6666666666666667</v>
      </c>
      <c r="C20" s="59">
        <f t="shared" si="3"/>
        <v>1.1785113019775793</v>
      </c>
      <c r="D20" s="59">
        <f t="shared" si="4"/>
        <v>0.20833333333333334</v>
      </c>
      <c r="E20" s="58" t="s">
        <v>84</v>
      </c>
    </row>
    <row r="21" spans="1:5" x14ac:dyDescent="0.3">
      <c r="A21" s="45">
        <v>0.12</v>
      </c>
      <c r="B21" s="59">
        <f t="shared" ref="B21" si="9">$B$1/(A21+B$2/1000+B$3/1000)/1000</f>
        <v>1.9696969696969695</v>
      </c>
      <c r="C21" s="59">
        <f t="shared" ref="C21" si="10">B21/SQRT(2)</f>
        <v>1.3927860841553206</v>
      </c>
      <c r="D21" s="59">
        <f t="shared" ref="D21" si="11">A21*C21*C21</f>
        <v>0.23278236914600539</v>
      </c>
      <c r="E21" s="58" t="s">
        <v>128</v>
      </c>
    </row>
    <row r="22" spans="1:5" x14ac:dyDescent="0.3">
      <c r="D22" s="3"/>
    </row>
    <row r="23" spans="1:5" x14ac:dyDescent="0.3">
      <c r="D23" s="3"/>
    </row>
    <row r="24" spans="1:5" x14ac:dyDescent="0.3">
      <c r="D24" s="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DC67-838B-414B-8FDB-F0F467D7717F}">
  <dimension ref="A1:O32"/>
  <sheetViews>
    <sheetView tabSelected="1" workbookViewId="0">
      <selection activeCell="D3" sqref="D3:I3"/>
    </sheetView>
  </sheetViews>
  <sheetFormatPr baseColWidth="10" defaultRowHeight="14.4" x14ac:dyDescent="0.3"/>
  <cols>
    <col min="1" max="1" width="37.109375" customWidth="1"/>
    <col min="4" max="4" width="15.44140625" customWidth="1"/>
  </cols>
  <sheetData>
    <row r="1" spans="1:15" ht="21" x14ac:dyDescent="0.4">
      <c r="A1" s="66" t="s">
        <v>130</v>
      </c>
    </row>
    <row r="2" spans="1:15" ht="21" x14ac:dyDescent="0.4">
      <c r="A2" s="66"/>
    </row>
    <row r="3" spans="1:15" ht="18" x14ac:dyDescent="0.35">
      <c r="A3" s="6" t="s">
        <v>149</v>
      </c>
      <c r="B3" t="s">
        <v>131</v>
      </c>
      <c r="C3" t="s">
        <v>132</v>
      </c>
      <c r="D3" t="s">
        <v>157</v>
      </c>
      <c r="E3" t="s">
        <v>158</v>
      </c>
      <c r="F3" t="s">
        <v>159</v>
      </c>
      <c r="G3" t="s">
        <v>160</v>
      </c>
      <c r="H3" t="s">
        <v>161</v>
      </c>
      <c r="I3" t="s">
        <v>156</v>
      </c>
    </row>
    <row r="4" spans="1:15" x14ac:dyDescent="0.3">
      <c r="A4" t="s">
        <v>155</v>
      </c>
      <c r="B4" s="70">
        <v>5</v>
      </c>
      <c r="C4" s="70">
        <v>0</v>
      </c>
      <c r="D4" s="71">
        <v>10</v>
      </c>
      <c r="E4" s="70" t="s">
        <v>133</v>
      </c>
      <c r="F4" s="70" t="s">
        <v>134</v>
      </c>
      <c r="G4" s="70" t="s">
        <v>135</v>
      </c>
      <c r="H4" s="70" t="s">
        <v>136</v>
      </c>
      <c r="I4" s="72" t="str">
        <f>DEC2HEX(O16,2)</f>
        <v>34</v>
      </c>
    </row>
    <row r="5" spans="1:15" x14ac:dyDescent="0.3">
      <c r="A5" t="s">
        <v>137</v>
      </c>
      <c r="B5" s="73">
        <f>B4</f>
        <v>5</v>
      </c>
      <c r="C5" s="73">
        <f>C4</f>
        <v>0</v>
      </c>
      <c r="D5" s="73">
        <f>_xlfn.BITOR(HEX2DEC(D4), HEX2DEC(80))</f>
        <v>144</v>
      </c>
      <c r="E5" s="73">
        <f>HEX2DEC(E4)</f>
        <v>0</v>
      </c>
      <c r="F5" s="73">
        <f t="shared" ref="F5" si="0">HEX2DEC(F4)</f>
        <v>1</v>
      </c>
      <c r="G5" s="73">
        <f t="shared" ref="G5" si="1">HEX2DEC(G4)</f>
        <v>20</v>
      </c>
      <c r="H5" s="73">
        <f t="shared" ref="H5" si="2">HEX2DEC(H4)</f>
        <v>5</v>
      </c>
    </row>
    <row r="7" spans="1:15" x14ac:dyDescent="0.3">
      <c r="B7" t="s">
        <v>139</v>
      </c>
      <c r="C7" t="s">
        <v>138</v>
      </c>
    </row>
    <row r="8" spans="1:15" x14ac:dyDescent="0.3">
      <c r="B8" s="67">
        <f>B5</f>
        <v>5</v>
      </c>
      <c r="C8">
        <v>0</v>
      </c>
      <c r="D8" s="68">
        <f>C5</f>
        <v>0</v>
      </c>
      <c r="E8">
        <f>C16</f>
        <v>105</v>
      </c>
      <c r="F8" s="67">
        <f>D5</f>
        <v>144</v>
      </c>
      <c r="G8">
        <f>E16</f>
        <v>24</v>
      </c>
      <c r="H8" s="69">
        <f>E5</f>
        <v>0</v>
      </c>
      <c r="I8">
        <f>G16</f>
        <v>119</v>
      </c>
      <c r="J8" s="69">
        <f>F5</f>
        <v>1</v>
      </c>
      <c r="K8">
        <f>I16</f>
        <v>66</v>
      </c>
      <c r="L8" s="69">
        <f>G5</f>
        <v>20</v>
      </c>
      <c r="M8">
        <f>K16</f>
        <v>64</v>
      </c>
      <c r="N8" s="69">
        <f>H5</f>
        <v>5</v>
      </c>
      <c r="O8">
        <f>M16</f>
        <v>31</v>
      </c>
    </row>
    <row r="9" spans="1:15" x14ac:dyDescent="0.3">
      <c r="A9" t="s">
        <v>140</v>
      </c>
      <c r="B9">
        <f>B8</f>
        <v>5</v>
      </c>
      <c r="C9">
        <f>IF(_xlfn.BITXOR(_xlfn.BITRSHIFT(C8,7),_xlfn.BITAND(B9,1))=1,_xlfn.BITXOR(_xlfn.BITAND(_xlfn.BITLSHIFT(C8,1),255),7),_xlfn.BITAND(_xlfn.BITLSHIFT(C8,1),255))</f>
        <v>7</v>
      </c>
      <c r="D9">
        <f>D8</f>
        <v>0</v>
      </c>
      <c r="E9">
        <f>IF(_xlfn.BITXOR(_xlfn.BITRSHIFT(E8,7),_xlfn.BITAND(D9,1))=1,_xlfn.BITXOR(_xlfn.BITAND(_xlfn.BITLSHIFT(E8,1),255),7),_xlfn.BITAND(_xlfn.BITLSHIFT(E8,1),255))</f>
        <v>210</v>
      </c>
      <c r="F9">
        <f>F8</f>
        <v>144</v>
      </c>
      <c r="G9">
        <f>IF(_xlfn.BITXOR(_xlfn.BITRSHIFT(G8,7),_xlfn.BITAND(F9,1))=1,_xlfn.BITXOR(_xlfn.BITAND(_xlfn.BITLSHIFT(G8,1),255),7),_xlfn.BITAND(_xlfn.BITLSHIFT(G8,1),255))</f>
        <v>48</v>
      </c>
      <c r="H9">
        <f>H8</f>
        <v>0</v>
      </c>
      <c r="I9">
        <f>IF(_xlfn.BITXOR(_xlfn.BITRSHIFT(I8,7),_xlfn.BITAND(H9,1))=1,_xlfn.BITXOR(_xlfn.BITAND(_xlfn.BITLSHIFT(I8,1),255),7),_xlfn.BITAND(_xlfn.BITLSHIFT(I8,1),255))</f>
        <v>238</v>
      </c>
      <c r="J9">
        <f>J8</f>
        <v>1</v>
      </c>
      <c r="K9">
        <f>IF(_xlfn.BITXOR(_xlfn.BITRSHIFT(K8,7),_xlfn.BITAND(J9,1))=1,_xlfn.BITXOR(_xlfn.BITAND(_xlfn.BITLSHIFT(K8,1),255),7),_xlfn.BITAND(_xlfn.BITLSHIFT(K8,1),255))</f>
        <v>131</v>
      </c>
      <c r="L9">
        <f>L8</f>
        <v>20</v>
      </c>
      <c r="M9">
        <f>IF(_xlfn.BITXOR(_xlfn.BITRSHIFT(M8,7),_xlfn.BITAND(L9,1))=1,_xlfn.BITXOR(_xlfn.BITAND(_xlfn.BITLSHIFT(M8,1),255),7),_xlfn.BITAND(_xlfn.BITLSHIFT(M8,1),255))</f>
        <v>128</v>
      </c>
      <c r="N9">
        <f>N8</f>
        <v>5</v>
      </c>
      <c r="O9">
        <f>IF(_xlfn.BITXOR(_xlfn.BITRSHIFT(O8,7),_xlfn.BITAND(N9,1))=1,_xlfn.BITXOR(_xlfn.BITAND(_xlfn.BITLSHIFT(O8,1),255),7),_xlfn.BITAND(_xlfn.BITLSHIFT(O8,1),255))</f>
        <v>57</v>
      </c>
    </row>
    <row r="10" spans="1:15" x14ac:dyDescent="0.3">
      <c r="A10" t="s">
        <v>141</v>
      </c>
      <c r="B10">
        <f>_xlfn.BITRSHIFT(B9,1)</f>
        <v>2</v>
      </c>
      <c r="C10">
        <f t="shared" ref="C10:C16" si="3">IF(_xlfn.BITXOR(_xlfn.BITRSHIFT(C9,7),_xlfn.BITAND(B10,1))=1,_xlfn.BITXOR(_xlfn.BITAND(_xlfn.BITLSHIFT(C9,1),255),7),_xlfn.BITAND(_xlfn.BITLSHIFT(C9,1),255))</f>
        <v>14</v>
      </c>
      <c r="D10">
        <f>_xlfn.BITRSHIFT(D9,1)</f>
        <v>0</v>
      </c>
      <c r="E10">
        <f t="shared" ref="E10:O16" si="4">IF(_xlfn.BITXOR(_xlfn.BITRSHIFT(E9,7),_xlfn.BITAND(D10,1))=1,_xlfn.BITXOR(_xlfn.BITAND(_xlfn.BITLSHIFT(E9,1),255),7),_xlfn.BITAND(_xlfn.BITLSHIFT(E9,1),255))</f>
        <v>163</v>
      </c>
      <c r="F10">
        <f>_xlfn.BITRSHIFT(F9,1)</f>
        <v>72</v>
      </c>
      <c r="G10">
        <f t="shared" si="4"/>
        <v>96</v>
      </c>
      <c r="H10">
        <f>_xlfn.BITRSHIFT(H9,1)</f>
        <v>0</v>
      </c>
      <c r="I10">
        <f t="shared" si="4"/>
        <v>219</v>
      </c>
      <c r="J10">
        <f>_xlfn.BITRSHIFT(J9,1)</f>
        <v>0</v>
      </c>
      <c r="K10">
        <f t="shared" si="4"/>
        <v>1</v>
      </c>
      <c r="L10">
        <f>_xlfn.BITRSHIFT(L9,1)</f>
        <v>10</v>
      </c>
      <c r="M10">
        <f t="shared" si="4"/>
        <v>7</v>
      </c>
      <c r="N10">
        <f>_xlfn.BITRSHIFT(N9,1)</f>
        <v>2</v>
      </c>
      <c r="O10">
        <f t="shared" si="4"/>
        <v>114</v>
      </c>
    </row>
    <row r="11" spans="1:15" x14ac:dyDescent="0.3">
      <c r="A11" t="s">
        <v>142</v>
      </c>
      <c r="B11">
        <f t="shared" ref="B11:N16" si="5">_xlfn.BITRSHIFT(B10,1)</f>
        <v>1</v>
      </c>
      <c r="C11">
        <f t="shared" si="3"/>
        <v>27</v>
      </c>
      <c r="D11">
        <f t="shared" si="5"/>
        <v>0</v>
      </c>
      <c r="E11">
        <f t="shared" si="4"/>
        <v>65</v>
      </c>
      <c r="F11">
        <f t="shared" si="5"/>
        <v>36</v>
      </c>
      <c r="G11">
        <f t="shared" si="4"/>
        <v>192</v>
      </c>
      <c r="H11">
        <f t="shared" si="5"/>
        <v>0</v>
      </c>
      <c r="I11">
        <f t="shared" si="4"/>
        <v>177</v>
      </c>
      <c r="J11">
        <f t="shared" si="5"/>
        <v>0</v>
      </c>
      <c r="K11">
        <f t="shared" si="4"/>
        <v>2</v>
      </c>
      <c r="L11">
        <f t="shared" si="5"/>
        <v>5</v>
      </c>
      <c r="M11">
        <f t="shared" si="4"/>
        <v>9</v>
      </c>
      <c r="N11">
        <f t="shared" si="5"/>
        <v>1</v>
      </c>
      <c r="O11">
        <f t="shared" si="4"/>
        <v>227</v>
      </c>
    </row>
    <row r="12" spans="1:15" x14ac:dyDescent="0.3">
      <c r="A12" t="s">
        <v>143</v>
      </c>
      <c r="B12">
        <f t="shared" si="5"/>
        <v>0</v>
      </c>
      <c r="C12">
        <f t="shared" si="3"/>
        <v>54</v>
      </c>
      <c r="D12">
        <f t="shared" si="5"/>
        <v>0</v>
      </c>
      <c r="E12">
        <f t="shared" si="4"/>
        <v>130</v>
      </c>
      <c r="F12">
        <f t="shared" si="5"/>
        <v>18</v>
      </c>
      <c r="G12">
        <f t="shared" si="4"/>
        <v>135</v>
      </c>
      <c r="H12">
        <f t="shared" si="5"/>
        <v>0</v>
      </c>
      <c r="I12">
        <f t="shared" si="4"/>
        <v>101</v>
      </c>
      <c r="J12">
        <f t="shared" si="5"/>
        <v>0</v>
      </c>
      <c r="K12">
        <f t="shared" si="4"/>
        <v>4</v>
      </c>
      <c r="L12">
        <f t="shared" si="5"/>
        <v>2</v>
      </c>
      <c r="M12">
        <f t="shared" si="4"/>
        <v>18</v>
      </c>
      <c r="N12">
        <f t="shared" si="5"/>
        <v>0</v>
      </c>
      <c r="O12">
        <f t="shared" si="4"/>
        <v>193</v>
      </c>
    </row>
    <row r="13" spans="1:15" x14ac:dyDescent="0.3">
      <c r="A13" t="s">
        <v>144</v>
      </c>
      <c r="B13">
        <f t="shared" si="5"/>
        <v>0</v>
      </c>
      <c r="C13">
        <f t="shared" si="3"/>
        <v>108</v>
      </c>
      <c r="D13">
        <f t="shared" si="5"/>
        <v>0</v>
      </c>
      <c r="E13">
        <f t="shared" si="4"/>
        <v>3</v>
      </c>
      <c r="F13">
        <f t="shared" si="5"/>
        <v>9</v>
      </c>
      <c r="G13">
        <f t="shared" si="4"/>
        <v>14</v>
      </c>
      <c r="H13">
        <f t="shared" si="5"/>
        <v>0</v>
      </c>
      <c r="I13">
        <f t="shared" si="4"/>
        <v>202</v>
      </c>
      <c r="J13">
        <f t="shared" si="5"/>
        <v>0</v>
      </c>
      <c r="K13">
        <f t="shared" si="4"/>
        <v>8</v>
      </c>
      <c r="L13">
        <f t="shared" si="5"/>
        <v>1</v>
      </c>
      <c r="M13">
        <f t="shared" si="4"/>
        <v>35</v>
      </c>
      <c r="N13">
        <f t="shared" si="5"/>
        <v>0</v>
      </c>
      <c r="O13">
        <f t="shared" si="4"/>
        <v>133</v>
      </c>
    </row>
    <row r="14" spans="1:15" x14ac:dyDescent="0.3">
      <c r="A14" t="s">
        <v>145</v>
      </c>
      <c r="B14">
        <f t="shared" si="5"/>
        <v>0</v>
      </c>
      <c r="C14">
        <f t="shared" si="3"/>
        <v>216</v>
      </c>
      <c r="D14">
        <f t="shared" si="5"/>
        <v>0</v>
      </c>
      <c r="E14">
        <f t="shared" si="4"/>
        <v>6</v>
      </c>
      <c r="F14">
        <f t="shared" si="5"/>
        <v>4</v>
      </c>
      <c r="G14">
        <f t="shared" si="4"/>
        <v>28</v>
      </c>
      <c r="H14">
        <f t="shared" si="5"/>
        <v>0</v>
      </c>
      <c r="I14">
        <f t="shared" si="4"/>
        <v>147</v>
      </c>
      <c r="J14">
        <f t="shared" si="5"/>
        <v>0</v>
      </c>
      <c r="K14">
        <f t="shared" si="4"/>
        <v>16</v>
      </c>
      <c r="L14">
        <f t="shared" si="5"/>
        <v>0</v>
      </c>
      <c r="M14">
        <f t="shared" si="4"/>
        <v>70</v>
      </c>
      <c r="N14">
        <f t="shared" si="5"/>
        <v>0</v>
      </c>
      <c r="O14">
        <f t="shared" si="4"/>
        <v>13</v>
      </c>
    </row>
    <row r="15" spans="1:15" x14ac:dyDescent="0.3">
      <c r="A15" t="s">
        <v>146</v>
      </c>
      <c r="B15">
        <f t="shared" si="5"/>
        <v>0</v>
      </c>
      <c r="C15">
        <f t="shared" si="3"/>
        <v>183</v>
      </c>
      <c r="D15">
        <f t="shared" si="5"/>
        <v>0</v>
      </c>
      <c r="E15">
        <f t="shared" si="4"/>
        <v>12</v>
      </c>
      <c r="F15">
        <f t="shared" si="5"/>
        <v>2</v>
      </c>
      <c r="G15">
        <f t="shared" si="4"/>
        <v>56</v>
      </c>
      <c r="H15">
        <f t="shared" si="5"/>
        <v>0</v>
      </c>
      <c r="I15">
        <f t="shared" si="4"/>
        <v>33</v>
      </c>
      <c r="J15">
        <f t="shared" si="5"/>
        <v>0</v>
      </c>
      <c r="K15">
        <f t="shared" si="4"/>
        <v>32</v>
      </c>
      <c r="L15">
        <f t="shared" si="5"/>
        <v>0</v>
      </c>
      <c r="M15">
        <f t="shared" si="4"/>
        <v>140</v>
      </c>
      <c r="N15">
        <f t="shared" si="5"/>
        <v>0</v>
      </c>
      <c r="O15">
        <f t="shared" si="4"/>
        <v>26</v>
      </c>
    </row>
    <row r="16" spans="1:15" x14ac:dyDescent="0.3">
      <c r="A16" t="s">
        <v>147</v>
      </c>
      <c r="B16">
        <f t="shared" si="5"/>
        <v>0</v>
      </c>
      <c r="C16">
        <f t="shared" si="3"/>
        <v>105</v>
      </c>
      <c r="D16">
        <f t="shared" si="5"/>
        <v>0</v>
      </c>
      <c r="E16">
        <f t="shared" si="4"/>
        <v>24</v>
      </c>
      <c r="F16">
        <f t="shared" si="5"/>
        <v>1</v>
      </c>
      <c r="G16">
        <f t="shared" si="4"/>
        <v>119</v>
      </c>
      <c r="H16">
        <f t="shared" si="5"/>
        <v>0</v>
      </c>
      <c r="I16">
        <f t="shared" si="4"/>
        <v>66</v>
      </c>
      <c r="J16">
        <f t="shared" si="5"/>
        <v>0</v>
      </c>
      <c r="K16">
        <f t="shared" si="4"/>
        <v>64</v>
      </c>
      <c r="L16">
        <f t="shared" si="5"/>
        <v>0</v>
      </c>
      <c r="M16">
        <f t="shared" si="4"/>
        <v>31</v>
      </c>
      <c r="N16">
        <f t="shared" si="5"/>
        <v>0</v>
      </c>
      <c r="O16">
        <f t="shared" si="4"/>
        <v>52</v>
      </c>
    </row>
    <row r="19" spans="1:14" ht="18" x14ac:dyDescent="0.35">
      <c r="A19" s="6" t="s">
        <v>150</v>
      </c>
      <c r="B19" t="s">
        <v>131</v>
      </c>
      <c r="C19" t="s">
        <v>132</v>
      </c>
      <c r="D19" t="s">
        <v>148</v>
      </c>
      <c r="E19" t="s">
        <v>156</v>
      </c>
    </row>
    <row r="20" spans="1:14" x14ac:dyDescent="0.3">
      <c r="A20" t="s">
        <v>154</v>
      </c>
      <c r="B20" s="70" t="s">
        <v>136</v>
      </c>
      <c r="C20" s="70" t="s">
        <v>152</v>
      </c>
      <c r="D20" s="70" t="s">
        <v>151</v>
      </c>
      <c r="E20" s="72" t="str">
        <f>DEC2HEX(G32,2)</f>
        <v>6F</v>
      </c>
    </row>
    <row r="21" spans="1:14" x14ac:dyDescent="0.3">
      <c r="A21" t="s">
        <v>153</v>
      </c>
      <c r="B21" s="73" t="str">
        <f>B20</f>
        <v>05</v>
      </c>
      <c r="C21" s="73" t="str">
        <f>C20</f>
        <v>0</v>
      </c>
      <c r="D21" s="73">
        <f>HEX2DEC(D20)</f>
        <v>6</v>
      </c>
      <c r="I21" s="31"/>
    </row>
    <row r="23" spans="1:14" x14ac:dyDescent="0.3">
      <c r="B23" t="s">
        <v>139</v>
      </c>
      <c r="C23" t="s">
        <v>138</v>
      </c>
    </row>
    <row r="24" spans="1:14" x14ac:dyDescent="0.3">
      <c r="B24" s="67" t="str">
        <f>B21</f>
        <v>05</v>
      </c>
      <c r="C24">
        <v>0</v>
      </c>
      <c r="D24" s="68" t="str">
        <f>C21</f>
        <v>0</v>
      </c>
      <c r="E24">
        <f>C32</f>
        <v>105</v>
      </c>
      <c r="F24" s="67">
        <f>D21</f>
        <v>6</v>
      </c>
      <c r="G24">
        <f>E32</f>
        <v>24</v>
      </c>
      <c r="H24" s="28"/>
      <c r="J24" s="28"/>
      <c r="K24" s="31"/>
      <c r="L24" s="28"/>
      <c r="M24" s="31"/>
      <c r="N24" s="28"/>
    </row>
    <row r="25" spans="1:14" x14ac:dyDescent="0.3">
      <c r="A25" t="s">
        <v>140</v>
      </c>
      <c r="B25" t="str">
        <f>B24</f>
        <v>05</v>
      </c>
      <c r="C25">
        <f>IF(_xlfn.BITXOR(_xlfn.BITRSHIFT(C24,7),_xlfn.BITAND(B25,1))=1,_xlfn.BITXOR(_xlfn.BITAND(_xlfn.BITLSHIFT(C24,1),255),7),_xlfn.BITAND(_xlfn.BITLSHIFT(C24,1),255))</f>
        <v>7</v>
      </c>
      <c r="D25" t="str">
        <f>D24</f>
        <v>0</v>
      </c>
      <c r="E25">
        <f>IF(_xlfn.BITXOR(_xlfn.BITRSHIFT(E24,7),_xlfn.BITAND(D25,1))=1,_xlfn.BITXOR(_xlfn.BITAND(_xlfn.BITLSHIFT(E24,1),255),7),_xlfn.BITAND(_xlfn.BITLSHIFT(E24,1),255))</f>
        <v>210</v>
      </c>
      <c r="F25">
        <f>F24</f>
        <v>6</v>
      </c>
      <c r="G25">
        <f>IF(_xlfn.BITXOR(_xlfn.BITRSHIFT(G24,7),_xlfn.BITAND(F25,1))=1,_xlfn.BITXOR(_xlfn.BITAND(_xlfn.BITLSHIFT(G24,1),255),7),_xlfn.BITAND(_xlfn.BITLSHIFT(G24,1),255))</f>
        <v>48</v>
      </c>
    </row>
    <row r="26" spans="1:14" x14ac:dyDescent="0.3">
      <c r="A26" t="s">
        <v>141</v>
      </c>
      <c r="B26">
        <f>_xlfn.BITRSHIFT(B25,1)</f>
        <v>2</v>
      </c>
      <c r="C26">
        <f t="shared" ref="C26:C32" si="6">IF(_xlfn.BITXOR(_xlfn.BITRSHIFT(C25,7),_xlfn.BITAND(B26,1))=1,_xlfn.BITXOR(_xlfn.BITAND(_xlfn.BITLSHIFT(C25,1),255),7),_xlfn.BITAND(_xlfn.BITLSHIFT(C25,1),255))</f>
        <v>14</v>
      </c>
      <c r="D26">
        <f>_xlfn.BITRSHIFT(D25,1)</f>
        <v>0</v>
      </c>
      <c r="E26">
        <f t="shared" ref="E26:E32" si="7">IF(_xlfn.BITXOR(_xlfn.BITRSHIFT(E25,7),_xlfn.BITAND(D26,1))=1,_xlfn.BITXOR(_xlfn.BITAND(_xlfn.BITLSHIFT(E25,1),255),7),_xlfn.BITAND(_xlfn.BITLSHIFT(E25,1),255))</f>
        <v>163</v>
      </c>
      <c r="F26">
        <f>_xlfn.BITRSHIFT(F25,1)</f>
        <v>3</v>
      </c>
      <c r="G26">
        <f t="shared" ref="G26:G32" si="8">IF(_xlfn.BITXOR(_xlfn.BITRSHIFT(G25,7),_xlfn.BITAND(F26,1))=1,_xlfn.BITXOR(_xlfn.BITAND(_xlfn.BITLSHIFT(G25,1),255),7),_xlfn.BITAND(_xlfn.BITLSHIFT(G25,1),255))</f>
        <v>103</v>
      </c>
    </row>
    <row r="27" spans="1:14" x14ac:dyDescent="0.3">
      <c r="A27" t="s">
        <v>142</v>
      </c>
      <c r="B27">
        <f t="shared" ref="B27:B32" si="9">_xlfn.BITRSHIFT(B26,1)</f>
        <v>1</v>
      </c>
      <c r="C27">
        <f t="shared" si="6"/>
        <v>27</v>
      </c>
      <c r="D27">
        <f t="shared" ref="D27:D32" si="10">_xlfn.BITRSHIFT(D26,1)</f>
        <v>0</v>
      </c>
      <c r="E27">
        <f t="shared" si="7"/>
        <v>65</v>
      </c>
      <c r="F27">
        <f t="shared" ref="F27:F32" si="11">_xlfn.BITRSHIFT(F26,1)</f>
        <v>1</v>
      </c>
      <c r="G27">
        <f t="shared" si="8"/>
        <v>201</v>
      </c>
    </row>
    <row r="28" spans="1:14" x14ac:dyDescent="0.3">
      <c r="A28" t="s">
        <v>143</v>
      </c>
      <c r="B28">
        <f t="shared" si="9"/>
        <v>0</v>
      </c>
      <c r="C28">
        <f t="shared" si="6"/>
        <v>54</v>
      </c>
      <c r="D28">
        <f t="shared" si="10"/>
        <v>0</v>
      </c>
      <c r="E28">
        <f t="shared" si="7"/>
        <v>130</v>
      </c>
      <c r="F28">
        <f t="shared" si="11"/>
        <v>0</v>
      </c>
      <c r="G28">
        <f t="shared" si="8"/>
        <v>149</v>
      </c>
    </row>
    <row r="29" spans="1:14" x14ac:dyDescent="0.3">
      <c r="A29" t="s">
        <v>144</v>
      </c>
      <c r="B29">
        <f t="shared" si="9"/>
        <v>0</v>
      </c>
      <c r="C29">
        <f t="shared" si="6"/>
        <v>108</v>
      </c>
      <c r="D29">
        <f t="shared" si="10"/>
        <v>0</v>
      </c>
      <c r="E29">
        <f t="shared" si="7"/>
        <v>3</v>
      </c>
      <c r="F29">
        <f t="shared" si="11"/>
        <v>0</v>
      </c>
      <c r="G29">
        <f t="shared" si="8"/>
        <v>45</v>
      </c>
    </row>
    <row r="30" spans="1:14" x14ac:dyDescent="0.3">
      <c r="A30" t="s">
        <v>145</v>
      </c>
      <c r="B30">
        <f t="shared" si="9"/>
        <v>0</v>
      </c>
      <c r="C30">
        <f t="shared" si="6"/>
        <v>216</v>
      </c>
      <c r="D30">
        <f t="shared" si="10"/>
        <v>0</v>
      </c>
      <c r="E30">
        <f t="shared" si="7"/>
        <v>6</v>
      </c>
      <c r="F30">
        <f t="shared" si="11"/>
        <v>0</v>
      </c>
      <c r="G30">
        <f t="shared" si="8"/>
        <v>90</v>
      </c>
    </row>
    <row r="31" spans="1:14" x14ac:dyDescent="0.3">
      <c r="A31" t="s">
        <v>146</v>
      </c>
      <c r="B31">
        <f t="shared" si="9"/>
        <v>0</v>
      </c>
      <c r="C31">
        <f t="shared" si="6"/>
        <v>183</v>
      </c>
      <c r="D31">
        <f t="shared" si="10"/>
        <v>0</v>
      </c>
      <c r="E31">
        <f t="shared" si="7"/>
        <v>12</v>
      </c>
      <c r="F31">
        <f t="shared" si="11"/>
        <v>0</v>
      </c>
      <c r="G31">
        <f t="shared" si="8"/>
        <v>180</v>
      </c>
    </row>
    <row r="32" spans="1:14" x14ac:dyDescent="0.3">
      <c r="A32" t="s">
        <v>147</v>
      </c>
      <c r="B32">
        <f t="shared" si="9"/>
        <v>0</v>
      </c>
      <c r="C32">
        <f t="shared" si="6"/>
        <v>105</v>
      </c>
      <c r="D32">
        <f t="shared" si="10"/>
        <v>0</v>
      </c>
      <c r="E32">
        <f t="shared" si="7"/>
        <v>24</v>
      </c>
      <c r="F32">
        <f t="shared" si="11"/>
        <v>0</v>
      </c>
      <c r="G32">
        <f t="shared" si="8"/>
        <v>111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A8" sqref="A8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1" t="s">
        <v>24</v>
      </c>
      <c r="B1" s="12" t="s">
        <v>114</v>
      </c>
    </row>
    <row r="2" spans="1:3" x14ac:dyDescent="0.3">
      <c r="A2" s="11"/>
      <c r="B2" s="12"/>
    </row>
    <row r="3" spans="1:3" x14ac:dyDescent="0.3">
      <c r="C3" s="16" t="s">
        <v>27</v>
      </c>
    </row>
    <row r="4" spans="1:3" x14ac:dyDescent="0.3">
      <c r="B4" s="16"/>
    </row>
    <row r="5" spans="1:3" x14ac:dyDescent="0.3">
      <c r="A5" s="11" t="s">
        <v>25</v>
      </c>
      <c r="B5" t="s">
        <v>32</v>
      </c>
      <c r="C5" s="11" t="s">
        <v>26</v>
      </c>
    </row>
    <row r="6" spans="1:3" x14ac:dyDescent="0.3">
      <c r="A6" s="17" t="s">
        <v>113</v>
      </c>
      <c r="B6" t="s">
        <v>33</v>
      </c>
      <c r="C6" t="s">
        <v>115</v>
      </c>
    </row>
    <row r="7" spans="1:3" x14ac:dyDescent="0.3">
      <c r="A7" t="s">
        <v>125</v>
      </c>
      <c r="B7" t="s">
        <v>33</v>
      </c>
      <c r="C7" t="s">
        <v>126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Velocity Calculation</vt:lpstr>
      <vt:lpstr>Power Dissipation</vt:lpstr>
      <vt:lpstr>Rsense</vt:lpstr>
      <vt:lpstr>Datagram CRC calc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2019-09-23T10:19:02Z</dcterms:modified>
</cp:coreProperties>
</file>