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ho-web\Shares\Boston Apps\ARCHIVE_DC\DC2040A (LTC3355EUF)\DC2040A\2) APPLICATION_TESTING_RESULTS\"/>
    </mc:Choice>
  </mc:AlternateContent>
  <xr:revisionPtr revIDLastSave="0" documentId="13_ncr:1_{F642D69E-C2D9-43AC-B6B0-B079472B0B89}" xr6:coauthVersionLast="47" xr6:coauthVersionMax="47" xr10:uidLastSave="{00000000-0000-0000-0000-000000000000}"/>
  <bookViews>
    <workbookView xWindow="795" yWindow="2880" windowWidth="19200" windowHeight="10530" xr2:uid="{00000000-000D-0000-FFFF-FFFF00000000}"/>
  </bookViews>
  <sheets>
    <sheet name="LTC3355 Backup Time" sheetId="4" r:id="rId1"/>
    <sheet name="Calculations" sheetId="5" r:id="rId2"/>
  </sheets>
  <definedNames>
    <definedName name="CCELL">'LTC3355 Backup Time'!$C$28</definedName>
    <definedName name="CCELL_EOL">'LTC3355 Backup Time'!$E$28</definedName>
    <definedName name="CSTK">'LTC3355 Backup Time'!$C$33</definedName>
    <definedName name="CSTK_EOLC">'LTC3355 Backup Time'!$E$33</definedName>
    <definedName name="CSTK_EOLR">'LTC3355 Backup Time'!$D$33</definedName>
    <definedName name="EFF">'LTC3355 Backup Time'!$C$22</definedName>
    <definedName name="IBST">Calculations!$C$4</definedName>
    <definedName name="IBstAv">'LTC3355 Backup Time'!#REF!</definedName>
    <definedName name="IBSTpk">'LTC3355 Backup Time'!$C$31</definedName>
    <definedName name="LMaxAbove">Calculations!$C$9</definedName>
    <definedName name="LMaxAboveC">Calculations!$I$9</definedName>
    <definedName name="LMaxAboveR">Calculations!$F$9</definedName>
    <definedName name="LMaxAboveRC">Calculations!$L$9</definedName>
    <definedName name="LMaxBelow">Calculations!$D$9</definedName>
    <definedName name="LMaxBelowC">Calculations!$J$9</definedName>
    <definedName name="LMaxBelowR">Calculations!$G$9</definedName>
    <definedName name="LMaxBelowRC">Calculations!$M$9</definedName>
    <definedName name="LMinAbove">Calculations!$C$11</definedName>
    <definedName name="LMinAboveC">Calculations!$I$11</definedName>
    <definedName name="LMinAboveR">Calculations!$F$11</definedName>
    <definedName name="LMinAboveRC">Calculations!$L$11</definedName>
    <definedName name="LMinBelow">Calculations!$D$11</definedName>
    <definedName name="LMinBelowC">Calculations!$J$11</definedName>
    <definedName name="LMinBelowR">Calculations!$G$11</definedName>
    <definedName name="LMinBelowRC">Calculations!$M$11</definedName>
    <definedName name="Num">'LTC3355 Backup Time'!$C$26</definedName>
    <definedName name="POUT">'LTC3355 Backup Time'!$C$20</definedName>
    <definedName name="RCELL">'LTC3355 Backup Time'!$C$29</definedName>
    <definedName name="RCELL_EOL">'LTC3355 Backup Time'!$D$29</definedName>
    <definedName name="RSTK">'LTC3355 Backup Time'!$C$34</definedName>
    <definedName name="RSTK_EOLC">'LTC3355 Backup Time'!$E$34</definedName>
    <definedName name="RSTK_EOLR">'LTC3355 Backup Time'!$D$34</definedName>
    <definedName name="TBackupTotal">Calculations!$E$13</definedName>
    <definedName name="TimeAbove">Calculations!$C$13</definedName>
    <definedName name="TimeAboveC">Calculations!$I$13</definedName>
    <definedName name="TimeAboveR">Calculations!$F$13</definedName>
    <definedName name="TimeAboveRC">Calculations!$L$13</definedName>
    <definedName name="TimeBelow">Calculations!$D$13</definedName>
    <definedName name="TimeBelowC">Calculations!$J$13</definedName>
    <definedName name="TimeBelowR">Calculations!$G$13</definedName>
    <definedName name="TimeBelowRC">Calculations!$M$13</definedName>
    <definedName name="TTotalC">Calculations!$K$13</definedName>
    <definedName name="TTotalR">Calculations!$H$13</definedName>
    <definedName name="TTotalRC">Calculations!$N$13</definedName>
    <definedName name="VBKUP">'LTC3355 Backup Time'!$C$18</definedName>
    <definedName name="VCAP">'LTC3355 Backup Time'!$C$24</definedName>
    <definedName name="VCAPmax">'LTC3355 Backup Time'!#REF!</definedName>
    <definedName name="VCAPmaxEOLC">'LTC3355 Backup Time'!#REF!</definedName>
    <definedName name="VCAPmaxEOLR">'LTC3355 Backup Time'!#REF!</definedName>
    <definedName name="VCAPminBk">'LTC3355 Backup Time'!$C$36</definedName>
    <definedName name="VCAPminDC">Calculations!$E$16</definedName>
    <definedName name="VCAPminDC_R">Calculations!$H$16</definedName>
    <definedName name="VCAPminDiode">Calculations!$C$8</definedName>
    <definedName name="VCAPminEOLC">'LTC3355 Backup Time'!$E$36</definedName>
    <definedName name="VCAPminEOLR">'LTC3355 Backup Time'!$D$36</definedName>
    <definedName name="VCAPminIp">Calculations!$D$16</definedName>
    <definedName name="VCAPminIpR">Calculations!$G$16</definedName>
    <definedName name="VCAPminPTR">Calculations!$C$16</definedName>
    <definedName name="VCAPminPTR_R">Calculations!$F$16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5" l="1"/>
  <c r="E16" i="5"/>
  <c r="G7" i="5" l="1"/>
  <c r="D7" i="5"/>
  <c r="D29" i="4" l="1"/>
  <c r="D34" i="4" l="1"/>
  <c r="C34" i="4"/>
  <c r="H16" i="5"/>
  <c r="C33" i="4"/>
  <c r="K16" i="5"/>
  <c r="E28" i="4"/>
  <c r="E33" i="4" s="1"/>
  <c r="E34" i="4"/>
  <c r="D33" i="4"/>
  <c r="D18" i="5" l="1"/>
  <c r="D9" i="5"/>
  <c r="I16" i="5"/>
  <c r="F16" i="5"/>
  <c r="G16" i="5" s="1"/>
  <c r="F33" i="4"/>
  <c r="C16" i="5"/>
  <c r="D16" i="5" s="1"/>
  <c r="C18" i="5"/>
  <c r="F28" i="4"/>
  <c r="F29" i="4"/>
  <c r="F34" i="4"/>
  <c r="E36" i="4" l="1"/>
  <c r="J16" i="5"/>
  <c r="E18" i="5"/>
  <c r="D36" i="4"/>
  <c r="C36" i="4" l="1"/>
  <c r="D8" i="5" s="1"/>
  <c r="G9" i="5"/>
  <c r="J9" i="5"/>
  <c r="M7" i="5"/>
  <c r="J7" i="5"/>
  <c r="J8" i="5" l="1"/>
  <c r="D11" i="5"/>
  <c r="J11" i="5" s="1"/>
  <c r="D13" i="5" l="1"/>
  <c r="J13" i="5"/>
  <c r="K13" i="5" l="1"/>
  <c r="E13" i="5"/>
  <c r="C38" i="4" l="1"/>
  <c r="E38" i="4"/>
  <c r="F36" i="4"/>
  <c r="G8" i="5"/>
  <c r="M8" i="5" l="1"/>
  <c r="G11" i="5"/>
  <c r="M13" i="5" l="1"/>
  <c r="N13" i="5" s="1"/>
  <c r="F38" i="4" s="1"/>
  <c r="G13" i="5"/>
  <c r="H13" i="5" s="1"/>
  <c r="D38" i="4" l="1"/>
</calcChain>
</file>

<file path=xl/sharedStrings.xml><?xml version="1.0" encoding="utf-8"?>
<sst xmlns="http://schemas.openxmlformats.org/spreadsheetml/2006/main" count="64" uniqueCount="50">
  <si>
    <t>Parameter</t>
  </si>
  <si>
    <t>ɣmax (Stack)</t>
  </si>
  <si>
    <t>ɣmin (Stack)</t>
  </si>
  <si>
    <t>Total</t>
  </si>
  <si>
    <t>Below VOUT Backup</t>
  </si>
  <si>
    <t>Initial Value</t>
  </si>
  <si>
    <t>EOL ESR Value</t>
  </si>
  <si>
    <t>EOL Cap Value</t>
  </si>
  <si>
    <t>EOL CAP &amp; ESR Value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</si>
  <si>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Small changes in ESR can make large difference on high power outputs. </t>
    </r>
  </si>
  <si>
    <t>Actual measured results will vary.</t>
  </si>
  <si>
    <t>Power Transfer</t>
  </si>
  <si>
    <t>Max DC</t>
  </si>
  <si>
    <t>VCAP Min</t>
  </si>
  <si>
    <t xml:space="preserve">ESR </t>
  </si>
  <si>
    <t xml:space="preserve"> Cap </t>
  </si>
  <si>
    <t xml:space="preserve"> CAP &amp; ESR </t>
  </si>
  <si>
    <t>CAPx Capacitance [F]</t>
  </si>
  <si>
    <t>CAPx ESR [Ohms]</t>
  </si>
  <si>
    <t>Boost Efficiency [%]</t>
  </si>
  <si>
    <t>POUT Backup Power [W]</t>
  </si>
  <si>
    <t>Stack Capacitance [F]</t>
  </si>
  <si>
    <t>Stack ESR [Ohms]</t>
  </si>
  <si>
    <t>Total Backup Time [Sec]</t>
  </si>
  <si>
    <t>EOL Parameter Definitions</t>
  </si>
  <si>
    <t>Typ=70</t>
  </si>
  <si>
    <t>Typ=200</t>
  </si>
  <si>
    <t>EOL Backup Values</t>
  </si>
  <si>
    <t>% of Initial ESR at EOL</t>
  </si>
  <si>
    <t xml:space="preserve">% of Initial Capacitance at EOL </t>
  </si>
  <si>
    <t>VCAP (Stack Voltage) [V]</t>
  </si>
  <si>
    <t>Entered Values         &gt;&gt;&gt;&gt;&gt;&gt;&gt;&gt;&gt;&gt;&gt;&gt;&gt;&gt;</t>
  </si>
  <si>
    <t>Calculated Values    &gt;&gt;&gt;&gt;&gt;&gt;&gt;&gt;&gt;&gt;&gt;&gt;&gt;&gt;</t>
  </si>
  <si>
    <t>Enter End of Life (EOL) ESR and Capacitance change to determine backup time at EOL.</t>
  </si>
  <si>
    <t>Enter Initial Values below.</t>
  </si>
  <si>
    <t>Tbackup (s)</t>
  </si>
  <si>
    <t>VCAP Min (V)</t>
  </si>
  <si>
    <t>At Max Peak Current*</t>
  </si>
  <si>
    <t>*(If current limit is reached before VCAP reaches "VCAP Min" from Max Power Transfer Rule)</t>
  </si>
  <si>
    <t>VIN Nominal (35V Max)</t>
  </si>
  <si>
    <t>VCAPmax</t>
  </si>
  <si>
    <t>VCAPmin</t>
  </si>
  <si>
    <t>DONE</t>
  </si>
  <si>
    <r>
      <t xml:space="preserve">Min VCAP during </t>
    </r>
    <r>
      <rPr>
        <b/>
        <sz val="10"/>
        <rFont val="Arial"/>
        <family val="2"/>
      </rPr>
      <t>Boost</t>
    </r>
    <r>
      <rPr>
        <sz val="10"/>
        <rFont val="Arial"/>
        <family val="2"/>
      </rPr>
      <t xml:space="preserve"> Backup [V]</t>
    </r>
  </si>
  <si>
    <r>
      <t>Boost Peak Current (1MΩ/R</t>
    </r>
    <r>
      <rPr>
        <sz val="8"/>
        <rFont val="Arial"/>
        <family val="2"/>
      </rPr>
      <t>IBSTPK</t>
    </r>
    <r>
      <rPr>
        <sz val="10"/>
        <rFont val="Arial"/>
        <family val="2"/>
      </rPr>
      <t>) [A]</t>
    </r>
  </si>
  <si>
    <t># of Caps in Series (Typically 1 can be 2)</t>
  </si>
  <si>
    <t>VOUT Voltage (≥2.7V,≤5V) [V]</t>
  </si>
  <si>
    <t>IBST =</t>
  </si>
  <si>
    <t xml:space="preserve">IBST ~ IBSTPK-15% for average inductor current </t>
  </si>
  <si>
    <t>LTC3355 Backup Time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</si>
</sst>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5" x14ac:knownFonts="1"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sz val="10"/>
      <name val="Century Gothic"/>
      <family val="2"/>
    </font>
    <font>
      <i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gradientFill degree="90">
        <stop position="0">
          <color theme="0" tint="-0.1490218817712943"/>
        </stop>
        <stop position="0.5">
          <color theme="6"/>
        </stop>
        <stop position="1">
          <color theme="0" tint="-0.1490218817712943"/>
        </stop>
      </gradient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2" fillId="0" borderId="0" xfId="1"/>
    <xf numFmtId="0" fontId="1" fillId="0" borderId="0" xfId="1" applyFont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3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1" applyFont="1"/>
    <xf numFmtId="0" fontId="0" fillId="0" borderId="0" xfId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7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/>
    </xf>
    <xf numFmtId="0" fontId="9" fillId="0" borderId="0" xfId="1" applyFont="1"/>
    <xf numFmtId="0" fontId="2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left"/>
    </xf>
    <xf numFmtId="0" fontId="2" fillId="0" borderId="0" xfId="1" applyFont="1" applyAlignment="1">
      <alignment horizontal="left"/>
    </xf>
    <xf numFmtId="0" fontId="0" fillId="0" borderId="0" xfId="0" applyFont="1"/>
    <xf numFmtId="0" fontId="4" fillId="0" borderId="0" xfId="0" applyFont="1"/>
    <xf numFmtId="0" fontId="0" fillId="0" borderId="0" xfId="1" applyFont="1"/>
    <xf numFmtId="164" fontId="4" fillId="0" borderId="0" xfId="1" applyNumberFormat="1" applyFont="1" applyFill="1" applyBorder="1" applyAlignment="1">
      <alignment horizontal="center"/>
    </xf>
    <xf numFmtId="0" fontId="0" fillId="0" borderId="1" xfId="1" applyFont="1" applyBorder="1"/>
    <xf numFmtId="0" fontId="0" fillId="0" borderId="2" xfId="1" applyFont="1" applyBorder="1" applyAlignment="1">
      <alignment horizontal="left"/>
    </xf>
    <xf numFmtId="0" fontId="0" fillId="0" borderId="3" xfId="1" applyFont="1" applyBorder="1"/>
    <xf numFmtId="0" fontId="4" fillId="0" borderId="4" xfId="1" applyFont="1" applyBorder="1"/>
    <xf numFmtId="0" fontId="2" fillId="0" borderId="5" xfId="1" applyNumberFormat="1" applyFont="1" applyBorder="1" applyAlignment="1">
      <alignment horizontal="left"/>
    </xf>
    <xf numFmtId="0" fontId="2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2" xfId="0" applyBorder="1" applyProtection="1"/>
    <xf numFmtId="0" fontId="0" fillId="0" borderId="1" xfId="0" applyBorder="1" applyProtection="1"/>
    <xf numFmtId="0" fontId="2" fillId="0" borderId="3" xfId="1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2" fillId="0" borderId="9" xfId="1" applyFont="1" applyBorder="1" applyProtection="1"/>
    <xf numFmtId="2" fontId="2" fillId="0" borderId="0" xfId="1" applyNumberFormat="1" applyFont="1" applyFill="1" applyAlignment="1" applyProtection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164" fontId="4" fillId="2" borderId="11" xfId="1" applyNumberFormat="1" applyFont="1" applyFill="1" applyBorder="1" applyAlignment="1" applyProtection="1">
      <alignment horizontal="center"/>
    </xf>
    <xf numFmtId="0" fontId="4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12" xfId="1" applyFont="1" applyBorder="1"/>
    <xf numFmtId="0" fontId="4" fillId="3" borderId="0" xfId="1" applyFont="1" applyFill="1" applyBorder="1" applyAlignment="1">
      <alignment horizontal="center"/>
    </xf>
    <xf numFmtId="0" fontId="4" fillId="0" borderId="13" xfId="1" applyFont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0" fillId="0" borderId="13" xfId="1" applyFont="1" applyBorder="1" applyAlignment="1">
      <alignment horizontal="left"/>
    </xf>
    <xf numFmtId="0" fontId="2" fillId="0" borderId="12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2" fontId="2" fillId="2" borderId="12" xfId="1" applyNumberFormat="1" applyFont="1" applyFill="1" applyBorder="1" applyAlignment="1">
      <alignment horizontal="center"/>
    </xf>
    <xf numFmtId="2" fontId="2" fillId="0" borderId="12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0" fillId="0" borderId="14" xfId="1" applyFont="1" applyBorder="1"/>
    <xf numFmtId="0" fontId="2" fillId="0" borderId="15" xfId="1" applyBorder="1"/>
    <xf numFmtId="0" fontId="2" fillId="0" borderId="15" xfId="1" applyNumberFormat="1" applyFont="1" applyBorder="1" applyAlignment="1">
      <alignment horizontal="center"/>
    </xf>
    <xf numFmtId="0" fontId="10" fillId="0" borderId="17" xfId="1" applyFont="1" applyBorder="1" applyAlignment="1">
      <alignment horizontal="left"/>
    </xf>
    <xf numFmtId="0" fontId="4" fillId="0" borderId="18" xfId="1" applyFont="1" applyBorder="1" applyAlignment="1">
      <alignment horizontal="center"/>
    </xf>
    <xf numFmtId="0" fontId="2" fillId="0" borderId="18" xfId="1" applyFont="1" applyBorder="1"/>
    <xf numFmtId="0" fontId="2" fillId="0" borderId="19" xfId="1" applyFont="1" applyBorder="1"/>
    <xf numFmtId="0" fontId="4" fillId="0" borderId="14" xfId="1" applyFont="1" applyBorder="1" applyAlignment="1">
      <alignment horizontal="right"/>
    </xf>
    <xf numFmtId="0" fontId="2" fillId="0" borderId="15" xfId="1" applyFont="1" applyBorder="1"/>
    <xf numFmtId="0" fontId="2" fillId="0" borderId="16" xfId="1" applyFont="1" applyBorder="1"/>
    <xf numFmtId="0" fontId="4" fillId="0" borderId="17" xfId="1" applyFont="1" applyBorder="1" applyAlignment="1">
      <alignment horizontal="left"/>
    </xf>
    <xf numFmtId="0" fontId="4" fillId="0" borderId="18" xfId="1" applyFont="1" applyFill="1" applyBorder="1" applyAlignment="1">
      <alignment horizontal="center"/>
    </xf>
    <xf numFmtId="0" fontId="4" fillId="0" borderId="14" xfId="1" applyFont="1" applyBorder="1" applyAlignment="1">
      <alignment horizontal="left"/>
    </xf>
    <xf numFmtId="0" fontId="4" fillId="0" borderId="15" xfId="1" applyFont="1" applyFill="1" applyBorder="1" applyAlignment="1">
      <alignment horizontal="center"/>
    </xf>
    <xf numFmtId="0" fontId="4" fillId="4" borderId="13" xfId="1" applyFont="1" applyFill="1" applyBorder="1" applyAlignment="1">
      <alignment horizontal="left"/>
    </xf>
    <xf numFmtId="0" fontId="4" fillId="4" borderId="0" xfId="1" applyFont="1" applyFill="1" applyBorder="1" applyAlignment="1">
      <alignment horizontal="center"/>
    </xf>
    <xf numFmtId="0" fontId="2" fillId="4" borderId="15" xfId="1" applyFont="1" applyFill="1" applyBorder="1"/>
    <xf numFmtId="0" fontId="2" fillId="4" borderId="16" xfId="1" applyFont="1" applyFill="1" applyBorder="1"/>
    <xf numFmtId="0" fontId="10" fillId="4" borderId="10" xfId="1" applyFont="1" applyFill="1" applyBorder="1" applyAlignment="1"/>
    <xf numFmtId="0" fontId="10" fillId="4" borderId="20" xfId="1" applyFont="1" applyFill="1" applyBorder="1" applyAlignment="1"/>
    <xf numFmtId="0" fontId="10" fillId="4" borderId="21" xfId="1" applyFont="1" applyFill="1" applyBorder="1" applyAlignment="1"/>
    <xf numFmtId="164" fontId="4" fillId="2" borderId="21" xfId="1" applyNumberFormat="1" applyFont="1" applyFill="1" applyBorder="1" applyAlignment="1" applyProtection="1">
      <alignment horizontal="center"/>
    </xf>
    <xf numFmtId="0" fontId="2" fillId="0" borderId="22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2" fillId="2" borderId="22" xfId="1" applyFont="1" applyFill="1" applyBorder="1" applyAlignment="1" applyProtection="1">
      <alignment horizontal="center"/>
    </xf>
    <xf numFmtId="2" fontId="2" fillId="2" borderId="22" xfId="1" applyNumberFormat="1" applyFont="1" applyFill="1" applyBorder="1" applyAlignment="1" applyProtection="1">
      <alignment horizontal="center"/>
    </xf>
    <xf numFmtId="2" fontId="2" fillId="0" borderId="22" xfId="1" applyNumberFormat="1" applyFont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0" fontId="11" fillId="0" borderId="22" xfId="1" applyFont="1" applyFill="1" applyBorder="1" applyAlignment="1">
      <alignment horizontal="center" wrapText="1"/>
    </xf>
    <xf numFmtId="0" fontId="0" fillId="0" borderId="22" xfId="1" applyFont="1" applyBorder="1" applyAlignment="1">
      <alignment horizontal="left"/>
    </xf>
    <xf numFmtId="0" fontId="2" fillId="0" borderId="22" xfId="1" applyFont="1" applyBorder="1" applyAlignment="1">
      <alignment horizontal="left"/>
    </xf>
    <xf numFmtId="0" fontId="4" fillId="0" borderId="23" xfId="1" applyFont="1" applyBorder="1" applyAlignment="1">
      <alignment horizontal="left"/>
    </xf>
    <xf numFmtId="0" fontId="6" fillId="0" borderId="17" xfId="1" applyFont="1" applyBorder="1" applyAlignment="1">
      <alignment horizontal="left"/>
    </xf>
    <xf numFmtId="0" fontId="4" fillId="2" borderId="0" xfId="1" applyFont="1" applyFill="1" applyBorder="1" applyAlignment="1">
      <alignment horizontal="center"/>
    </xf>
    <xf numFmtId="165" fontId="0" fillId="0" borderId="0" xfId="1" applyNumberFormat="1" applyFont="1" applyProtection="1"/>
    <xf numFmtId="165" fontId="0" fillId="0" borderId="0" xfId="0" applyNumberFormat="1"/>
    <xf numFmtId="0" fontId="2" fillId="0" borderId="24" xfId="1" applyFont="1" applyBorder="1"/>
    <xf numFmtId="0" fontId="4" fillId="3" borderId="0" xfId="1" applyFont="1" applyFill="1" applyBorder="1" applyAlignment="1" applyProtection="1">
      <alignment horizontal="center"/>
      <protection locked="0"/>
    </xf>
    <xf numFmtId="2" fontId="4" fillId="3" borderId="0" xfId="1" applyNumberFormat="1" applyFont="1" applyFill="1" applyBorder="1" applyAlignment="1" applyProtection="1">
      <alignment horizontal="center"/>
      <protection locked="0"/>
    </xf>
    <xf numFmtId="0" fontId="2" fillId="0" borderId="22" xfId="1" applyFont="1" applyFill="1" applyBorder="1" applyAlignment="1" applyProtection="1">
      <alignment horizontal="center"/>
    </xf>
    <xf numFmtId="0" fontId="0" fillId="0" borderId="5" xfId="1" applyNumberFormat="1" applyFont="1" applyBorder="1" applyAlignment="1">
      <alignment horizontal="left"/>
    </xf>
    <xf numFmtId="165" fontId="2" fillId="2" borderId="22" xfId="1" applyNumberFormat="1" applyFont="1" applyFill="1" applyBorder="1" applyAlignment="1" applyProtection="1">
      <alignment horizontal="center"/>
    </xf>
    <xf numFmtId="165" fontId="2" fillId="2" borderId="12" xfId="1" applyNumberFormat="1" applyFont="1" applyFill="1" applyBorder="1" applyAlignment="1" applyProtection="1">
      <alignment horizontal="center"/>
    </xf>
    <xf numFmtId="165" fontId="4" fillId="3" borderId="0" xfId="1" applyNumberFormat="1" applyFont="1" applyFill="1" applyBorder="1" applyAlignment="1" applyProtection="1">
      <alignment horizontal="center"/>
      <protection locked="0"/>
    </xf>
    <xf numFmtId="0" fontId="2" fillId="2" borderId="22" xfId="1" applyNumberFormat="1" applyFont="1" applyFill="1" applyBorder="1" applyAlignment="1" applyProtection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3" fillId="5" borderId="25" xfId="1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 applyProtection="1">
      <alignment horizontal="center" vertical="center"/>
      <protection locked="0"/>
    </xf>
    <xf numFmtId="0" fontId="14" fillId="5" borderId="2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0" borderId="26" xfId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/>
    <xf numFmtId="0" fontId="0" fillId="0" borderId="18" xfId="0" applyBorder="1" applyAlignment="1">
      <alignment horizontal="center"/>
    </xf>
  </cellXfs>
  <cellStyles count="2">
    <cellStyle name="Normal" xfId="0" builtinId="0"/>
    <cellStyle name="Normal_DVS_Comparison1" xfId="1" xr:uid="{00000000-0005-0000-0000-000001000000}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220"/>
  <sheetViews>
    <sheetView tabSelected="1" topLeftCell="A16" zoomScaleNormal="100" workbookViewId="0">
      <selection activeCell="C22" sqref="C22"/>
    </sheetView>
  </sheetViews>
  <sheetFormatPr defaultColWidth="11.42578125" defaultRowHeight="13.5" x14ac:dyDescent="0.25"/>
  <cols>
    <col min="1" max="1" width="11.42578125" style="21"/>
    <col min="2" max="2" width="36.42578125" style="6" customWidth="1"/>
    <col min="3" max="3" width="13.7109375" style="16" customWidth="1"/>
    <col min="4" max="5" width="13.7109375" style="10" customWidth="1"/>
    <col min="6" max="6" width="13.7109375" style="8" customWidth="1"/>
    <col min="7" max="7" width="19.140625" style="6" customWidth="1"/>
    <col min="8" max="8" width="17.140625" style="2" customWidth="1"/>
    <col min="9" max="16" width="11.42578125" style="4"/>
    <col min="17" max="16384" width="11.42578125" style="1"/>
  </cols>
  <sheetData>
    <row r="1" spans="2:11" ht="14.25" thickBot="1" x14ac:dyDescent="0.3"/>
    <row r="2" spans="2:11" ht="17.25" customHeight="1" thickBot="1" x14ac:dyDescent="0.3">
      <c r="B2" s="75" t="s">
        <v>49</v>
      </c>
      <c r="C2" s="76"/>
      <c r="D2" s="76"/>
      <c r="E2" s="76"/>
      <c r="F2" s="77"/>
      <c r="G2" s="4"/>
      <c r="H2" s="4"/>
    </row>
    <row r="3" spans="2:11" ht="12.75" customHeight="1" x14ac:dyDescent="0.25">
      <c r="B3" s="60"/>
      <c r="C3" s="61"/>
      <c r="D3" s="62"/>
      <c r="E3" s="62"/>
      <c r="F3" s="63"/>
      <c r="G3" s="4"/>
      <c r="H3" s="4"/>
    </row>
    <row r="4" spans="2:11" ht="12.75" customHeight="1" x14ac:dyDescent="0.2">
      <c r="B4" s="47" t="s">
        <v>31</v>
      </c>
      <c r="C4" s="46"/>
      <c r="D4" s="44"/>
      <c r="E4" s="44"/>
      <c r="F4" s="45"/>
      <c r="G4" s="4"/>
      <c r="H4" s="4"/>
    </row>
    <row r="5" spans="2:11" ht="12.75" customHeight="1" x14ac:dyDescent="0.2">
      <c r="B5" s="47" t="s">
        <v>32</v>
      </c>
      <c r="C5" s="90"/>
      <c r="D5" s="44"/>
      <c r="E5" s="44"/>
      <c r="F5" s="45"/>
      <c r="G5" s="4"/>
      <c r="H5" s="4"/>
    </row>
    <row r="6" spans="2:11" ht="12.75" customHeight="1" thickBot="1" x14ac:dyDescent="0.25">
      <c r="B6" s="64"/>
      <c r="C6" s="70"/>
      <c r="D6" s="65"/>
      <c r="E6" s="65"/>
      <c r="F6" s="66"/>
      <c r="G6" s="4"/>
      <c r="H6" s="4"/>
    </row>
    <row r="7" spans="2:11" ht="12.75" customHeight="1" x14ac:dyDescent="0.2">
      <c r="B7" s="67" t="s">
        <v>33</v>
      </c>
      <c r="C7" s="68"/>
      <c r="D7" s="62"/>
      <c r="E7" s="62"/>
      <c r="F7" s="63"/>
      <c r="G7" s="4"/>
      <c r="H7" s="4"/>
    </row>
    <row r="8" spans="2:11" ht="12.75" customHeight="1" x14ac:dyDescent="0.2">
      <c r="B8" s="47" t="s">
        <v>34</v>
      </c>
      <c r="C8" s="48"/>
      <c r="D8" s="44"/>
      <c r="E8" s="44"/>
      <c r="F8" s="45"/>
      <c r="G8" s="4"/>
      <c r="H8" s="4"/>
    </row>
    <row r="9" spans="2:11" ht="12.75" customHeight="1" thickBot="1" x14ac:dyDescent="0.25">
      <c r="B9" s="69"/>
      <c r="C9" s="70"/>
      <c r="D9" s="65"/>
      <c r="E9" s="65"/>
      <c r="F9" s="66"/>
      <c r="G9" s="4"/>
      <c r="H9" s="4"/>
    </row>
    <row r="10" spans="2:11" ht="12.75" customHeight="1" x14ac:dyDescent="0.2">
      <c r="B10" s="89" t="s">
        <v>24</v>
      </c>
      <c r="C10" s="68"/>
      <c r="D10" s="62"/>
      <c r="E10" s="62"/>
      <c r="F10" s="63"/>
      <c r="G10" s="4"/>
      <c r="H10" s="4"/>
    </row>
    <row r="11" spans="2:11" ht="12.75" customHeight="1" x14ac:dyDescent="0.2">
      <c r="B11" s="47" t="s">
        <v>29</v>
      </c>
      <c r="C11" s="94">
        <v>70</v>
      </c>
      <c r="D11" s="49" t="s">
        <v>25</v>
      </c>
      <c r="E11" s="44"/>
      <c r="F11" s="45"/>
      <c r="G11" s="4"/>
      <c r="H11" s="4"/>
    </row>
    <row r="12" spans="2:11" ht="12.75" customHeight="1" x14ac:dyDescent="0.2">
      <c r="B12" s="47" t="s">
        <v>28</v>
      </c>
      <c r="C12" s="94">
        <v>200</v>
      </c>
      <c r="D12" s="49" t="s">
        <v>26</v>
      </c>
      <c r="E12" s="44"/>
      <c r="F12" s="45"/>
      <c r="G12" s="4"/>
      <c r="H12" s="4"/>
    </row>
    <row r="13" spans="2:11" ht="12.75" customHeight="1" x14ac:dyDescent="0.2">
      <c r="B13" s="47" t="s">
        <v>39</v>
      </c>
      <c r="C13" s="94">
        <v>12</v>
      </c>
      <c r="D13" s="49"/>
      <c r="E13" s="44"/>
      <c r="F13" s="45"/>
      <c r="G13" s="4"/>
      <c r="H13" s="4"/>
    </row>
    <row r="14" spans="2:11" ht="12.75" customHeight="1" thickBot="1" x14ac:dyDescent="0.25">
      <c r="B14" s="69"/>
      <c r="C14" s="70"/>
      <c r="D14" s="65"/>
      <c r="E14" s="65"/>
      <c r="F14" s="66"/>
      <c r="G14" s="4"/>
      <c r="H14" s="4"/>
    </row>
    <row r="15" spans="2:11" ht="12.75" customHeight="1" thickBot="1" x14ac:dyDescent="0.25">
      <c r="B15" s="71"/>
      <c r="C15" s="72"/>
      <c r="D15" s="73"/>
      <c r="E15" s="73"/>
      <c r="F15" s="74"/>
      <c r="G15" s="4"/>
      <c r="H15" s="4"/>
      <c r="K15" s="93"/>
    </row>
    <row r="16" spans="2:11" ht="12.75" customHeight="1" thickBot="1" x14ac:dyDescent="0.25">
      <c r="B16" s="107" t="s">
        <v>0</v>
      </c>
      <c r="C16" s="105" t="s">
        <v>5</v>
      </c>
      <c r="D16" s="102" t="s">
        <v>27</v>
      </c>
      <c r="E16" s="103"/>
      <c r="F16" s="104"/>
      <c r="G16" s="4"/>
      <c r="H16" s="4"/>
    </row>
    <row r="17" spans="1:16" s="11" customFormat="1" ht="12.75" customHeight="1" thickBot="1" x14ac:dyDescent="0.25">
      <c r="A17" s="4"/>
      <c r="B17" s="108"/>
      <c r="C17" s="106"/>
      <c r="D17" s="40" t="s">
        <v>14</v>
      </c>
      <c r="E17" s="40" t="s">
        <v>15</v>
      </c>
      <c r="F17" s="41" t="s">
        <v>16</v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12" customFormat="1" ht="12.75" x14ac:dyDescent="0.2">
      <c r="A18" s="17"/>
      <c r="B18" s="86" t="s">
        <v>46</v>
      </c>
      <c r="C18" s="94">
        <v>4</v>
      </c>
      <c r="D18" s="79"/>
      <c r="E18" s="84"/>
      <c r="F18" s="51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2.75" x14ac:dyDescent="0.2">
      <c r="B19" s="87"/>
      <c r="C19" s="79"/>
      <c r="D19" s="79"/>
      <c r="E19" s="84"/>
      <c r="F19" s="51"/>
      <c r="G19" s="4"/>
      <c r="H19" s="4"/>
    </row>
    <row r="20" spans="1:16" ht="12.75" x14ac:dyDescent="0.2">
      <c r="B20" s="86" t="s">
        <v>20</v>
      </c>
      <c r="C20" s="94">
        <v>2</v>
      </c>
      <c r="D20" s="79"/>
      <c r="E20" s="84"/>
      <c r="F20" s="51"/>
      <c r="G20" s="4"/>
      <c r="H20" s="4"/>
    </row>
    <row r="21" spans="1:16" ht="12.75" x14ac:dyDescent="0.2">
      <c r="B21" s="87"/>
      <c r="C21" s="79"/>
      <c r="D21" s="79"/>
      <c r="E21" s="84"/>
      <c r="F21" s="51"/>
      <c r="G21" s="4"/>
      <c r="H21" s="4"/>
    </row>
    <row r="22" spans="1:16" ht="12.75" x14ac:dyDescent="0.2">
      <c r="B22" s="86" t="s">
        <v>19</v>
      </c>
      <c r="C22" s="94">
        <v>75</v>
      </c>
      <c r="D22" s="79"/>
      <c r="E22" s="84"/>
      <c r="F22" s="51"/>
      <c r="G22" s="4"/>
      <c r="H22" s="4"/>
    </row>
    <row r="23" spans="1:16" ht="12.75" x14ac:dyDescent="0.2">
      <c r="B23" s="87"/>
      <c r="C23" s="79"/>
      <c r="D23" s="79"/>
      <c r="E23" s="84"/>
      <c r="F23" s="51"/>
      <c r="G23" s="4"/>
      <c r="H23" s="4"/>
    </row>
    <row r="24" spans="1:16" ht="12.75" x14ac:dyDescent="0.2">
      <c r="B24" s="86" t="s">
        <v>30</v>
      </c>
      <c r="C24" s="95">
        <v>2.4</v>
      </c>
      <c r="D24" s="79"/>
      <c r="E24" s="84"/>
      <c r="F24" s="51"/>
      <c r="G24" s="4"/>
      <c r="H24" s="4"/>
    </row>
    <row r="25" spans="1:16" ht="12.75" x14ac:dyDescent="0.2">
      <c r="B25" s="87"/>
      <c r="C25" s="79"/>
      <c r="D25" s="79"/>
      <c r="E25" s="84"/>
      <c r="F25" s="51"/>
      <c r="G25" s="4"/>
      <c r="H25" s="4"/>
    </row>
    <row r="26" spans="1:16" ht="12.75" x14ac:dyDescent="0.2">
      <c r="B26" s="86" t="s">
        <v>45</v>
      </c>
      <c r="C26" s="94">
        <v>1</v>
      </c>
      <c r="D26" s="79"/>
      <c r="E26" s="84"/>
      <c r="F26" s="51"/>
      <c r="G26" s="4"/>
      <c r="H26" s="4"/>
    </row>
    <row r="27" spans="1:16" ht="12.75" x14ac:dyDescent="0.2">
      <c r="B27" s="87"/>
      <c r="C27" s="79"/>
      <c r="D27" s="80"/>
      <c r="E27" s="85"/>
      <c r="F27" s="51"/>
      <c r="G27" s="4"/>
      <c r="H27" s="23"/>
    </row>
    <row r="28" spans="1:16" ht="12.75" x14ac:dyDescent="0.2">
      <c r="B28" s="86" t="s">
        <v>17</v>
      </c>
      <c r="C28" s="100">
        <v>3</v>
      </c>
      <c r="D28" s="101"/>
      <c r="E28" s="81">
        <f>C11/100*CCELL</f>
        <v>2.0999999999999996</v>
      </c>
      <c r="F28" s="52">
        <f>CCELL_EOL</f>
        <v>2.0999999999999996</v>
      </c>
      <c r="G28" s="4"/>
      <c r="H28" s="4"/>
    </row>
    <row r="29" spans="1:16" ht="12.75" x14ac:dyDescent="0.2">
      <c r="B29" s="86" t="s">
        <v>18</v>
      </c>
      <c r="C29" s="94">
        <v>0.04</v>
      </c>
      <c r="D29" s="81">
        <f>C12/100*RCELL</f>
        <v>0.08</v>
      </c>
      <c r="E29" s="81"/>
      <c r="F29" s="52">
        <f>RCELL_EOL</f>
        <v>0.08</v>
      </c>
      <c r="G29" s="4"/>
      <c r="H29" s="4"/>
    </row>
    <row r="30" spans="1:16" ht="12.75" x14ac:dyDescent="0.2">
      <c r="B30" s="87"/>
      <c r="C30" s="79"/>
      <c r="D30" s="79"/>
      <c r="E30" s="84"/>
      <c r="F30" s="51"/>
      <c r="G30" s="4"/>
      <c r="H30" s="4"/>
    </row>
    <row r="31" spans="1:16" ht="12.75" x14ac:dyDescent="0.2">
      <c r="B31" s="86" t="s">
        <v>44</v>
      </c>
      <c r="C31" s="94">
        <v>5</v>
      </c>
      <c r="D31" s="79"/>
      <c r="E31" s="84"/>
      <c r="F31" s="51"/>
      <c r="G31" s="4"/>
      <c r="H31" s="4"/>
    </row>
    <row r="32" spans="1:16" ht="12.75" x14ac:dyDescent="0.2">
      <c r="B32" s="86"/>
      <c r="C32" s="96"/>
      <c r="D32" s="79"/>
      <c r="E32" s="84"/>
      <c r="F32" s="51"/>
      <c r="G32" s="4"/>
      <c r="H32" s="4"/>
    </row>
    <row r="33" spans="1:8" ht="12.75" x14ac:dyDescent="0.2">
      <c r="B33" s="86" t="s">
        <v>21</v>
      </c>
      <c r="C33" s="98">
        <f>CCELL/Num</f>
        <v>3</v>
      </c>
      <c r="D33" s="98">
        <f>CCELL/Num</f>
        <v>3</v>
      </c>
      <c r="E33" s="98">
        <f>CCELL_EOL/Num</f>
        <v>2.0999999999999996</v>
      </c>
      <c r="F33" s="99">
        <f>CSTK_EOLC</f>
        <v>2.0999999999999996</v>
      </c>
      <c r="G33" s="4"/>
      <c r="H33" s="4"/>
    </row>
    <row r="34" spans="1:8" ht="12.75" x14ac:dyDescent="0.2">
      <c r="B34" s="86" t="s">
        <v>22</v>
      </c>
      <c r="C34" s="81">
        <f>RCELL*Num</f>
        <v>0.04</v>
      </c>
      <c r="D34" s="81">
        <f>RCELL_EOL*Num</f>
        <v>0.08</v>
      </c>
      <c r="E34" s="81">
        <f>RCELL*Num</f>
        <v>0.04</v>
      </c>
      <c r="F34" s="52">
        <f>RSTK_EOLR</f>
        <v>0.08</v>
      </c>
      <c r="G34" s="4"/>
      <c r="H34" s="4"/>
    </row>
    <row r="35" spans="1:8" ht="12.75" x14ac:dyDescent="0.2">
      <c r="B35" s="87"/>
      <c r="C35" s="79"/>
      <c r="D35" s="79"/>
      <c r="E35" s="79"/>
      <c r="F35" s="51"/>
      <c r="G35" s="4"/>
      <c r="H35" s="4"/>
    </row>
    <row r="36" spans="1:8" x14ac:dyDescent="0.25">
      <c r="B36" s="86" t="s">
        <v>43</v>
      </c>
      <c r="C36" s="82">
        <f>MIN(MAX(VCAPminPTR,VCAPminIp,VCAPminDC,),VCAP)</f>
        <v>0.74992546753131573</v>
      </c>
      <c r="D36" s="82">
        <f>MIN(MAX(VCAPminPTR_R,VCAPminIpR,VCAPminDC_R),VCAP)</f>
        <v>0.9237604307034013</v>
      </c>
      <c r="E36" s="82">
        <f>MIN(MAX(VCAPminPTR,VCAPminIp,VCAPminDC),VCAP)</f>
        <v>0.74992546753131573</v>
      </c>
      <c r="F36" s="53">
        <f>VCAPminEOLR</f>
        <v>0.9237604307034013</v>
      </c>
    </row>
    <row r="37" spans="1:8" ht="14.25" thickBot="1" x14ac:dyDescent="0.3">
      <c r="B37" s="86"/>
      <c r="C37" s="83"/>
      <c r="D37" s="83"/>
      <c r="E37" s="83"/>
      <c r="F37" s="54"/>
    </row>
    <row r="38" spans="1:8" s="11" customFormat="1" thickBot="1" x14ac:dyDescent="0.25">
      <c r="A38" s="22"/>
      <c r="B38" s="88" t="s">
        <v>23</v>
      </c>
      <c r="C38" s="42">
        <f>TBackupTotal</f>
        <v>2.7704445770251107</v>
      </c>
      <c r="D38" s="42">
        <f>TTotalR</f>
        <v>2.4891196587863824</v>
      </c>
      <c r="E38" s="42">
        <f>TTotalC</f>
        <v>1.9393112039175773</v>
      </c>
      <c r="F38" s="78">
        <f>TTotalRC</f>
        <v>1.7423837611504676</v>
      </c>
    </row>
    <row r="39" spans="1:8" s="11" customFormat="1" ht="12.75" x14ac:dyDescent="0.2">
      <c r="A39" s="22"/>
      <c r="B39" s="47"/>
      <c r="C39" s="24"/>
      <c r="D39" s="43"/>
      <c r="E39" s="43"/>
      <c r="F39" s="109" t="s">
        <v>42</v>
      </c>
    </row>
    <row r="40" spans="1:8" x14ac:dyDescent="0.25">
      <c r="B40" s="50" t="s">
        <v>9</v>
      </c>
      <c r="C40" s="55"/>
      <c r="D40" s="56"/>
      <c r="E40" s="56"/>
      <c r="F40" s="110"/>
    </row>
    <row r="41" spans="1:8" ht="14.25" thickBot="1" x14ac:dyDescent="0.3">
      <c r="B41" s="57" t="s">
        <v>10</v>
      </c>
      <c r="C41" s="58"/>
      <c r="D41" s="59"/>
      <c r="E41" s="59"/>
      <c r="F41" s="111"/>
    </row>
    <row r="42" spans="1:8" ht="14.25" customHeight="1" x14ac:dyDescent="0.25">
      <c r="B42" s="20"/>
      <c r="C42" s="14"/>
      <c r="D42" s="18"/>
      <c r="E42" s="18"/>
    </row>
    <row r="43" spans="1:8" x14ac:dyDescent="0.25">
      <c r="B43" s="20"/>
      <c r="C43" s="14"/>
      <c r="D43" s="18"/>
      <c r="E43" s="18"/>
    </row>
    <row r="44" spans="1:8" x14ac:dyDescent="0.25">
      <c r="B44" s="20"/>
      <c r="C44" s="39"/>
      <c r="D44" s="18"/>
      <c r="E44" s="18"/>
    </row>
    <row r="45" spans="1:8" x14ac:dyDescent="0.25">
      <c r="B45" s="20"/>
      <c r="C45" s="14"/>
      <c r="D45" s="18"/>
      <c r="E45" s="18"/>
    </row>
    <row r="46" spans="1:8" ht="12.75" x14ac:dyDescent="0.2">
      <c r="B46" s="20"/>
      <c r="C46" s="14"/>
      <c r="D46" s="18"/>
      <c r="E46" s="18"/>
      <c r="F46"/>
      <c r="G46"/>
      <c r="H46" s="4"/>
    </row>
    <row r="47" spans="1:8" ht="12.75" x14ac:dyDescent="0.2">
      <c r="B47" s="20"/>
      <c r="C47" s="14"/>
      <c r="D47" s="18"/>
      <c r="E47" s="18"/>
      <c r="F47"/>
      <c r="G47"/>
      <c r="H47" s="4"/>
    </row>
    <row r="48" spans="1:8" ht="12.75" x14ac:dyDescent="0.2">
      <c r="B48" s="20"/>
      <c r="C48" s="14"/>
      <c r="D48" s="18"/>
      <c r="E48" s="18"/>
      <c r="F48"/>
      <c r="G48"/>
      <c r="H48" s="4"/>
    </row>
    <row r="49" spans="2:7" s="3" customFormat="1" ht="15.75" customHeight="1" x14ac:dyDescent="0.2">
      <c r="B49" s="5"/>
      <c r="C49" s="15"/>
      <c r="D49" s="9"/>
      <c r="E49" s="9"/>
      <c r="F49"/>
      <c r="G49"/>
    </row>
    <row r="50" spans="2:7" s="3" customFormat="1" ht="12.75" x14ac:dyDescent="0.2">
      <c r="B50" s="5"/>
      <c r="C50" s="15"/>
      <c r="D50" s="9"/>
      <c r="E50" s="9"/>
      <c r="F50"/>
      <c r="G50"/>
    </row>
    <row r="51" spans="2:7" s="3" customFormat="1" ht="12.75" x14ac:dyDescent="0.2">
      <c r="B51" s="5"/>
      <c r="C51" s="15"/>
      <c r="D51" s="9"/>
      <c r="E51" s="9"/>
      <c r="F51"/>
      <c r="G51"/>
    </row>
    <row r="52" spans="2:7" s="3" customFormat="1" ht="12.75" x14ac:dyDescent="0.2">
      <c r="B52" s="5"/>
      <c r="C52" s="15"/>
      <c r="D52" s="9"/>
      <c r="E52" s="9"/>
      <c r="F52" s="7"/>
      <c r="G52" s="5"/>
    </row>
    <row r="53" spans="2:7" s="3" customFormat="1" ht="12.75" x14ac:dyDescent="0.2">
      <c r="B53" s="5"/>
      <c r="C53" s="15"/>
      <c r="D53" s="9"/>
      <c r="E53" s="9"/>
      <c r="F53" s="7"/>
      <c r="G53" s="5"/>
    </row>
    <row r="54" spans="2:7" s="3" customFormat="1" ht="12.75" x14ac:dyDescent="0.2">
      <c r="B54" s="5"/>
      <c r="C54" s="15"/>
      <c r="D54" s="9"/>
      <c r="E54" s="9"/>
      <c r="F54" s="7"/>
      <c r="G54" s="5"/>
    </row>
    <row r="55" spans="2:7" s="3" customFormat="1" ht="12.75" x14ac:dyDescent="0.2">
      <c r="B55" s="5"/>
      <c r="C55" s="15"/>
      <c r="D55" s="9"/>
      <c r="E55" s="9"/>
      <c r="F55" s="7"/>
      <c r="G55" s="5"/>
    </row>
    <row r="56" spans="2:7" s="3" customFormat="1" ht="12.75" x14ac:dyDescent="0.2">
      <c r="B56" s="5"/>
      <c r="C56" s="15"/>
      <c r="D56" s="9"/>
      <c r="E56" s="9"/>
      <c r="F56" s="7"/>
      <c r="G56" s="5"/>
    </row>
    <row r="57" spans="2:7" s="3" customFormat="1" ht="12.75" x14ac:dyDescent="0.2">
      <c r="B57" s="5"/>
      <c r="C57" s="15"/>
      <c r="D57" s="9"/>
      <c r="E57" s="9"/>
      <c r="F57" s="7"/>
      <c r="G57" s="5"/>
    </row>
    <row r="58" spans="2:7" s="3" customFormat="1" ht="12.75" x14ac:dyDescent="0.2">
      <c r="B58" s="5"/>
      <c r="C58" s="15"/>
      <c r="D58" s="9"/>
      <c r="E58" s="9"/>
      <c r="F58" s="7"/>
      <c r="G58" s="5"/>
    </row>
    <row r="59" spans="2:7" s="3" customFormat="1" ht="12.75" x14ac:dyDescent="0.2">
      <c r="B59" s="5"/>
      <c r="C59" s="15"/>
      <c r="D59" s="9"/>
      <c r="E59" s="9"/>
      <c r="F59" s="7"/>
      <c r="G59" s="5"/>
    </row>
    <row r="60" spans="2:7" s="3" customFormat="1" ht="12.75" x14ac:dyDescent="0.2">
      <c r="B60" s="5"/>
      <c r="C60" s="15"/>
      <c r="D60" s="9"/>
      <c r="E60" s="9"/>
      <c r="F60" s="7"/>
      <c r="G60" s="5"/>
    </row>
    <row r="61" spans="2:7" s="3" customFormat="1" ht="12.75" x14ac:dyDescent="0.2">
      <c r="B61" s="5"/>
      <c r="C61" s="15"/>
      <c r="D61" s="9"/>
      <c r="E61" s="9"/>
      <c r="F61" s="7"/>
      <c r="G61" s="5"/>
    </row>
    <row r="62" spans="2:7" s="3" customFormat="1" ht="12.75" x14ac:dyDescent="0.2">
      <c r="B62" s="5"/>
      <c r="C62" s="15"/>
      <c r="D62" s="9"/>
      <c r="E62" s="9"/>
      <c r="F62" s="7"/>
      <c r="G62" s="5"/>
    </row>
    <row r="63" spans="2:7" s="3" customFormat="1" ht="12.75" x14ac:dyDescent="0.2">
      <c r="B63" s="5"/>
      <c r="C63" s="15"/>
      <c r="D63" s="9"/>
      <c r="E63" s="9"/>
      <c r="F63" s="7"/>
      <c r="G63" s="5"/>
    </row>
    <row r="64" spans="2:7" s="3" customFormat="1" ht="12.75" x14ac:dyDescent="0.2">
      <c r="B64" s="5"/>
      <c r="C64" s="15"/>
      <c r="D64" s="9"/>
      <c r="E64" s="9"/>
      <c r="F64" s="7"/>
      <c r="G64" s="5"/>
    </row>
    <row r="65" spans="2:8" s="3" customFormat="1" ht="12.75" x14ac:dyDescent="0.2">
      <c r="B65" s="5"/>
      <c r="C65" s="15"/>
      <c r="D65" s="9"/>
      <c r="E65" s="9"/>
      <c r="F65" s="7"/>
      <c r="G65" s="5"/>
    </row>
    <row r="66" spans="2:8" ht="84.75" hidden="1" customHeight="1" thickBot="1" x14ac:dyDescent="0.25">
      <c r="B66" s="20"/>
      <c r="C66" s="14"/>
      <c r="D66" s="18"/>
      <c r="E66" s="18"/>
      <c r="F66" s="19"/>
      <c r="G66" s="20"/>
      <c r="H66" s="4"/>
    </row>
    <row r="67" spans="2:8" ht="12.75" x14ac:dyDescent="0.2">
      <c r="B67" s="20"/>
      <c r="C67" s="14"/>
      <c r="D67" s="18"/>
      <c r="E67" s="18"/>
      <c r="F67" s="19"/>
      <c r="G67" s="20"/>
      <c r="H67" s="4"/>
    </row>
    <row r="68" spans="2:8" ht="12.75" x14ac:dyDescent="0.2">
      <c r="B68" s="20"/>
      <c r="C68" s="14"/>
      <c r="D68" s="18"/>
      <c r="E68" s="18"/>
      <c r="F68" s="19"/>
      <c r="G68" s="20"/>
      <c r="H68" s="4"/>
    </row>
    <row r="69" spans="2:8" ht="12.75" x14ac:dyDescent="0.2">
      <c r="B69" s="20"/>
      <c r="C69" s="14"/>
      <c r="D69" s="18"/>
      <c r="E69" s="18"/>
      <c r="F69" s="19"/>
      <c r="G69" s="20"/>
      <c r="H69" s="4"/>
    </row>
    <row r="70" spans="2:8" ht="12.75" x14ac:dyDescent="0.2">
      <c r="B70" s="20"/>
      <c r="C70" s="14"/>
      <c r="D70" s="18"/>
      <c r="E70" s="18"/>
      <c r="F70" s="19"/>
      <c r="G70" s="20"/>
      <c r="H70" s="4"/>
    </row>
    <row r="71" spans="2:8" ht="12.75" x14ac:dyDescent="0.2">
      <c r="B71" s="20"/>
      <c r="C71" s="14"/>
      <c r="D71" s="18"/>
      <c r="E71" s="18"/>
      <c r="F71" s="19"/>
      <c r="G71" s="20"/>
      <c r="H71" s="4"/>
    </row>
    <row r="72" spans="2:8" ht="12.75" x14ac:dyDescent="0.2">
      <c r="B72" s="20"/>
      <c r="C72" s="14"/>
      <c r="D72" s="18"/>
      <c r="E72" s="18"/>
      <c r="F72" s="19"/>
      <c r="G72" s="20"/>
      <c r="H72" s="4"/>
    </row>
    <row r="73" spans="2:8" ht="12.75" x14ac:dyDescent="0.2">
      <c r="B73" s="20"/>
      <c r="C73" s="14"/>
      <c r="D73" s="18"/>
      <c r="E73" s="18"/>
      <c r="F73" s="19"/>
      <c r="G73" s="20"/>
      <c r="H73" s="4"/>
    </row>
    <row r="74" spans="2:8" ht="12.75" x14ac:dyDescent="0.2">
      <c r="B74" s="20"/>
      <c r="C74" s="14"/>
      <c r="D74" s="18"/>
      <c r="E74" s="18"/>
      <c r="F74" s="19"/>
      <c r="G74" s="20"/>
      <c r="H74" s="4"/>
    </row>
    <row r="75" spans="2:8" ht="12.75" x14ac:dyDescent="0.2">
      <c r="B75" s="20"/>
      <c r="C75" s="14"/>
      <c r="D75" s="18"/>
      <c r="E75" s="18"/>
      <c r="F75" s="19"/>
      <c r="G75" s="20"/>
      <c r="H75" s="4"/>
    </row>
    <row r="76" spans="2:8" ht="12.75" x14ac:dyDescent="0.2">
      <c r="B76" s="20"/>
      <c r="C76" s="14"/>
      <c r="D76" s="18"/>
      <c r="E76" s="18"/>
      <c r="F76" s="19"/>
      <c r="G76" s="20"/>
      <c r="H76" s="4"/>
    </row>
    <row r="77" spans="2:8" ht="12.75" x14ac:dyDescent="0.2">
      <c r="B77" s="20"/>
      <c r="C77" s="14"/>
      <c r="D77" s="18"/>
      <c r="E77" s="18"/>
      <c r="F77" s="19"/>
      <c r="G77" s="20"/>
      <c r="H77" s="4"/>
    </row>
    <row r="78" spans="2:8" ht="12.75" x14ac:dyDescent="0.2">
      <c r="B78" s="20"/>
      <c r="C78" s="14"/>
      <c r="D78" s="18"/>
      <c r="E78" s="18"/>
      <c r="F78" s="19"/>
      <c r="G78" s="20"/>
      <c r="H78" s="4"/>
    </row>
    <row r="79" spans="2:8" ht="12.75" x14ac:dyDescent="0.2">
      <c r="B79" s="20"/>
      <c r="C79" s="14"/>
      <c r="D79" s="18"/>
      <c r="E79" s="18"/>
      <c r="F79" s="19"/>
      <c r="G79" s="20"/>
      <c r="H79" s="4"/>
    </row>
    <row r="80" spans="2:8" ht="12.75" x14ac:dyDescent="0.2">
      <c r="B80" s="20"/>
      <c r="C80" s="14"/>
      <c r="D80" s="18"/>
      <c r="E80" s="18"/>
      <c r="F80" s="19"/>
      <c r="G80" s="20"/>
      <c r="H80" s="4"/>
    </row>
    <row r="81" spans="2:8" ht="12.75" x14ac:dyDescent="0.2">
      <c r="B81" s="20"/>
      <c r="C81" s="14"/>
      <c r="D81" s="18"/>
      <c r="E81" s="18"/>
      <c r="F81" s="19"/>
      <c r="G81" s="20"/>
      <c r="H81" s="4"/>
    </row>
    <row r="82" spans="2:8" ht="12.75" x14ac:dyDescent="0.2">
      <c r="B82" s="20"/>
      <c r="C82" s="14"/>
      <c r="D82" s="18"/>
      <c r="E82" s="18"/>
      <c r="F82" s="19"/>
      <c r="G82" s="20"/>
      <c r="H82" s="4"/>
    </row>
    <row r="83" spans="2:8" ht="12.75" x14ac:dyDescent="0.2">
      <c r="B83" s="20"/>
      <c r="C83" s="14"/>
      <c r="D83" s="18"/>
      <c r="E83" s="18"/>
      <c r="F83" s="19"/>
      <c r="G83" s="20"/>
      <c r="H83" s="4"/>
    </row>
    <row r="84" spans="2:8" ht="12.75" x14ac:dyDescent="0.2">
      <c r="B84" s="20"/>
      <c r="C84" s="14"/>
      <c r="D84" s="18"/>
      <c r="E84" s="18"/>
      <c r="F84" s="19"/>
      <c r="G84" s="20"/>
      <c r="H84" s="4"/>
    </row>
    <row r="85" spans="2:8" ht="12.75" x14ac:dyDescent="0.2">
      <c r="B85" s="20"/>
      <c r="C85" s="14"/>
      <c r="D85" s="18"/>
      <c r="E85" s="18"/>
      <c r="F85" s="19"/>
      <c r="G85" s="20"/>
      <c r="H85" s="4"/>
    </row>
    <row r="86" spans="2:8" ht="12.75" x14ac:dyDescent="0.2">
      <c r="B86" s="20"/>
      <c r="C86" s="14"/>
      <c r="D86" s="18"/>
      <c r="E86" s="18"/>
      <c r="F86" s="19"/>
      <c r="G86" s="20"/>
      <c r="H86" s="4"/>
    </row>
    <row r="87" spans="2:8" ht="12.75" x14ac:dyDescent="0.2">
      <c r="B87" s="20"/>
      <c r="C87" s="14"/>
      <c r="D87" s="18"/>
      <c r="E87" s="18"/>
      <c r="F87" s="19"/>
      <c r="G87" s="20"/>
      <c r="H87" s="4"/>
    </row>
    <row r="88" spans="2:8" ht="12.75" x14ac:dyDescent="0.2">
      <c r="B88" s="20"/>
      <c r="C88" s="14"/>
      <c r="D88" s="18"/>
      <c r="E88" s="18"/>
      <c r="F88" s="19"/>
      <c r="G88" s="20"/>
      <c r="H88" s="4"/>
    </row>
    <row r="89" spans="2:8" ht="12.75" x14ac:dyDescent="0.2">
      <c r="B89" s="20"/>
      <c r="C89" s="14"/>
      <c r="D89" s="18"/>
      <c r="E89" s="18"/>
      <c r="F89" s="19"/>
      <c r="G89" s="20"/>
      <c r="H89" s="4"/>
    </row>
    <row r="90" spans="2:8" ht="12.75" x14ac:dyDescent="0.2">
      <c r="B90" s="20"/>
      <c r="C90" s="14"/>
      <c r="D90" s="18"/>
      <c r="E90" s="18"/>
      <c r="F90" s="19"/>
      <c r="G90" s="20"/>
      <c r="H90" s="4"/>
    </row>
    <row r="91" spans="2:8" ht="12.75" x14ac:dyDescent="0.2">
      <c r="B91" s="20"/>
      <c r="C91" s="14"/>
      <c r="D91" s="18"/>
      <c r="E91" s="18"/>
      <c r="F91" s="19"/>
      <c r="G91" s="20"/>
      <c r="H91" s="4"/>
    </row>
    <row r="92" spans="2:8" ht="12.75" x14ac:dyDescent="0.2">
      <c r="B92" s="20"/>
      <c r="C92" s="14"/>
      <c r="D92" s="18"/>
      <c r="E92" s="18"/>
      <c r="F92" s="19"/>
      <c r="G92" s="20"/>
      <c r="H92" s="4"/>
    </row>
    <row r="93" spans="2:8" ht="12.75" x14ac:dyDescent="0.2">
      <c r="B93" s="20"/>
      <c r="C93" s="14"/>
      <c r="D93" s="18"/>
      <c r="E93" s="18"/>
      <c r="F93" s="19"/>
      <c r="G93" s="20"/>
      <c r="H93" s="4"/>
    </row>
    <row r="94" spans="2:8" ht="12.75" x14ac:dyDescent="0.2">
      <c r="B94" s="20"/>
      <c r="C94" s="14"/>
      <c r="D94" s="18"/>
      <c r="E94" s="18"/>
      <c r="F94" s="19"/>
      <c r="G94" s="20"/>
      <c r="H94" s="4"/>
    </row>
    <row r="95" spans="2:8" ht="12.75" x14ac:dyDescent="0.2">
      <c r="B95" s="20"/>
      <c r="C95" s="14"/>
      <c r="D95" s="18"/>
      <c r="E95" s="18"/>
      <c r="F95" s="19"/>
      <c r="G95" s="20"/>
      <c r="H95" s="4"/>
    </row>
    <row r="96" spans="2:8" ht="12.75" x14ac:dyDescent="0.2">
      <c r="B96" s="20"/>
      <c r="C96" s="14"/>
      <c r="D96" s="18"/>
      <c r="E96" s="18"/>
      <c r="F96" s="19"/>
      <c r="G96" s="20"/>
      <c r="H96" s="4"/>
    </row>
    <row r="97" spans="2:8" ht="12.75" x14ac:dyDescent="0.2">
      <c r="B97" s="20"/>
      <c r="C97" s="14"/>
      <c r="D97" s="18"/>
      <c r="E97" s="18"/>
      <c r="F97" s="19"/>
      <c r="G97" s="20"/>
      <c r="H97" s="4"/>
    </row>
    <row r="98" spans="2:8" ht="12.75" x14ac:dyDescent="0.2">
      <c r="B98" s="20"/>
      <c r="C98" s="14"/>
      <c r="D98" s="18"/>
      <c r="E98" s="18"/>
      <c r="F98" s="19"/>
      <c r="G98" s="20"/>
      <c r="H98" s="4"/>
    </row>
    <row r="99" spans="2:8" ht="12.75" x14ac:dyDescent="0.2">
      <c r="B99" s="20"/>
      <c r="C99" s="14"/>
      <c r="D99" s="18"/>
      <c r="E99" s="18"/>
      <c r="F99" s="19"/>
      <c r="G99" s="20"/>
      <c r="H99" s="4"/>
    </row>
    <row r="100" spans="2:8" ht="12.75" x14ac:dyDescent="0.2">
      <c r="B100" s="20"/>
      <c r="C100" s="14"/>
      <c r="D100" s="18"/>
      <c r="E100" s="18"/>
      <c r="F100" s="19"/>
      <c r="G100" s="20"/>
      <c r="H100" s="4"/>
    </row>
    <row r="101" spans="2:8" ht="12.75" x14ac:dyDescent="0.2">
      <c r="B101" s="20"/>
      <c r="C101" s="14"/>
      <c r="D101" s="18"/>
      <c r="E101" s="18"/>
      <c r="F101" s="19"/>
      <c r="G101" s="20"/>
      <c r="H101" s="4"/>
    </row>
    <row r="102" spans="2:8" ht="12.75" x14ac:dyDescent="0.2">
      <c r="B102" s="20"/>
      <c r="C102" s="14"/>
      <c r="D102" s="18"/>
      <c r="E102" s="18"/>
      <c r="F102" s="19"/>
      <c r="G102" s="20"/>
      <c r="H102" s="4"/>
    </row>
    <row r="103" spans="2:8" ht="12.75" x14ac:dyDescent="0.2">
      <c r="B103" s="20"/>
      <c r="C103" s="14"/>
      <c r="D103" s="18"/>
      <c r="E103" s="18"/>
      <c r="F103" s="19"/>
      <c r="G103" s="20"/>
      <c r="H103" s="4"/>
    </row>
    <row r="104" spans="2:8" ht="12.75" x14ac:dyDescent="0.2">
      <c r="B104" s="20"/>
      <c r="C104" s="14"/>
      <c r="D104" s="18"/>
      <c r="E104" s="18"/>
      <c r="F104" s="19"/>
      <c r="G104" s="20"/>
      <c r="H104" s="4"/>
    </row>
    <row r="105" spans="2:8" ht="12.75" x14ac:dyDescent="0.2">
      <c r="B105" s="20"/>
      <c r="C105" s="14"/>
      <c r="D105" s="18"/>
      <c r="E105" s="18"/>
      <c r="F105" s="19"/>
      <c r="G105" s="20"/>
      <c r="H105" s="4"/>
    </row>
    <row r="106" spans="2:8" ht="12.75" x14ac:dyDescent="0.2">
      <c r="B106" s="20"/>
      <c r="C106" s="14"/>
      <c r="D106" s="18"/>
      <c r="E106" s="18"/>
      <c r="F106" s="19"/>
      <c r="G106" s="20"/>
      <c r="H106" s="4"/>
    </row>
    <row r="107" spans="2:8" ht="12.75" x14ac:dyDescent="0.2">
      <c r="B107" s="20"/>
      <c r="C107" s="14"/>
      <c r="D107" s="18"/>
      <c r="E107" s="18"/>
      <c r="F107" s="19"/>
      <c r="G107" s="20"/>
      <c r="H107" s="4"/>
    </row>
    <row r="108" spans="2:8" ht="12.75" x14ac:dyDescent="0.2">
      <c r="B108" s="20"/>
      <c r="C108" s="14"/>
      <c r="D108" s="18"/>
      <c r="E108" s="18"/>
      <c r="F108" s="19"/>
      <c r="G108" s="20"/>
      <c r="H108" s="4"/>
    </row>
    <row r="109" spans="2:8" ht="12.75" x14ac:dyDescent="0.2">
      <c r="B109" s="20"/>
      <c r="C109" s="14"/>
      <c r="D109" s="18"/>
      <c r="E109" s="18"/>
      <c r="F109" s="19"/>
      <c r="G109" s="20"/>
      <c r="H109" s="4"/>
    </row>
    <row r="110" spans="2:8" ht="12.75" x14ac:dyDescent="0.2">
      <c r="B110" s="20"/>
      <c r="C110" s="14"/>
      <c r="D110" s="18"/>
      <c r="E110" s="18"/>
      <c r="F110" s="19"/>
      <c r="G110" s="20"/>
      <c r="H110" s="4"/>
    </row>
    <row r="111" spans="2:8" ht="12.75" x14ac:dyDescent="0.2">
      <c r="B111" s="20"/>
      <c r="C111" s="14"/>
      <c r="D111" s="18"/>
      <c r="E111" s="18"/>
      <c r="F111" s="19"/>
      <c r="G111" s="20"/>
      <c r="H111" s="4"/>
    </row>
    <row r="112" spans="2:8" ht="12.75" x14ac:dyDescent="0.2">
      <c r="B112" s="20"/>
      <c r="C112" s="14"/>
      <c r="D112" s="18"/>
      <c r="E112" s="18"/>
      <c r="F112" s="19"/>
      <c r="G112" s="20"/>
      <c r="H112" s="4"/>
    </row>
    <row r="113" spans="2:8" ht="12.75" x14ac:dyDescent="0.2">
      <c r="B113" s="20"/>
      <c r="C113" s="14"/>
      <c r="D113" s="18"/>
      <c r="E113" s="18"/>
      <c r="F113" s="19"/>
      <c r="G113" s="20"/>
      <c r="H113" s="4"/>
    </row>
    <row r="114" spans="2:8" ht="12.75" x14ac:dyDescent="0.2">
      <c r="B114" s="20"/>
      <c r="C114" s="14"/>
      <c r="D114" s="18"/>
      <c r="E114" s="18"/>
      <c r="F114" s="19"/>
      <c r="G114" s="20"/>
      <c r="H114" s="4"/>
    </row>
    <row r="115" spans="2:8" ht="12.75" x14ac:dyDescent="0.2">
      <c r="B115" s="20"/>
      <c r="C115" s="14"/>
      <c r="D115" s="18"/>
      <c r="E115" s="18"/>
      <c r="F115" s="19"/>
      <c r="G115" s="20"/>
      <c r="H115" s="4"/>
    </row>
    <row r="116" spans="2:8" ht="12.75" x14ac:dyDescent="0.2">
      <c r="B116" s="20"/>
      <c r="C116" s="14"/>
      <c r="D116" s="18"/>
      <c r="E116" s="18"/>
      <c r="F116" s="19"/>
      <c r="G116" s="20"/>
      <c r="H116" s="4"/>
    </row>
    <row r="117" spans="2:8" ht="12.75" x14ac:dyDescent="0.2">
      <c r="B117" s="20"/>
      <c r="C117" s="14"/>
      <c r="D117" s="18"/>
      <c r="E117" s="18"/>
      <c r="F117" s="19"/>
      <c r="G117" s="20"/>
      <c r="H117" s="4"/>
    </row>
    <row r="118" spans="2:8" ht="12.75" x14ac:dyDescent="0.2">
      <c r="B118" s="20"/>
      <c r="C118" s="14"/>
      <c r="D118" s="18"/>
      <c r="E118" s="18"/>
      <c r="F118" s="19"/>
      <c r="G118" s="20"/>
      <c r="H118" s="4"/>
    </row>
    <row r="119" spans="2:8" ht="12.75" x14ac:dyDescent="0.2">
      <c r="B119" s="20"/>
      <c r="C119" s="14"/>
      <c r="D119" s="18"/>
      <c r="E119" s="18"/>
      <c r="F119" s="19"/>
      <c r="G119" s="20"/>
      <c r="H119" s="4"/>
    </row>
    <row r="120" spans="2:8" ht="12.75" x14ac:dyDescent="0.2">
      <c r="B120" s="20"/>
      <c r="C120" s="14"/>
      <c r="D120" s="18"/>
      <c r="E120" s="18"/>
      <c r="F120" s="19"/>
      <c r="G120" s="20"/>
      <c r="H120" s="4"/>
    </row>
    <row r="121" spans="2:8" ht="12.75" x14ac:dyDescent="0.2">
      <c r="B121" s="20"/>
      <c r="C121" s="14"/>
      <c r="D121" s="18"/>
      <c r="E121" s="18"/>
      <c r="F121" s="19"/>
      <c r="G121" s="20"/>
      <c r="H121" s="4"/>
    </row>
    <row r="122" spans="2:8" ht="12.75" x14ac:dyDescent="0.2">
      <c r="B122" s="20"/>
      <c r="C122" s="14"/>
      <c r="D122" s="18"/>
      <c r="E122" s="18"/>
      <c r="F122" s="19"/>
      <c r="G122" s="20"/>
      <c r="H122" s="4"/>
    </row>
    <row r="123" spans="2:8" ht="12.75" x14ac:dyDescent="0.2">
      <c r="B123" s="20"/>
      <c r="C123" s="14"/>
      <c r="D123" s="18"/>
      <c r="E123" s="18"/>
      <c r="F123" s="19"/>
      <c r="G123" s="20"/>
      <c r="H123" s="4"/>
    </row>
    <row r="124" spans="2:8" ht="12.75" x14ac:dyDescent="0.2">
      <c r="B124" s="20"/>
      <c r="C124" s="14"/>
      <c r="D124" s="18"/>
      <c r="E124" s="18"/>
      <c r="F124" s="19"/>
      <c r="G124" s="20"/>
      <c r="H124" s="4"/>
    </row>
    <row r="125" spans="2:8" ht="12.75" x14ac:dyDescent="0.2">
      <c r="B125" s="20"/>
      <c r="C125" s="14"/>
      <c r="D125" s="18"/>
      <c r="E125" s="18"/>
      <c r="F125" s="19"/>
      <c r="G125" s="20"/>
      <c r="H125" s="4"/>
    </row>
    <row r="126" spans="2:8" ht="12.75" x14ac:dyDescent="0.2">
      <c r="B126" s="20"/>
      <c r="C126" s="14"/>
      <c r="D126" s="18"/>
      <c r="E126" s="18"/>
      <c r="F126" s="19"/>
      <c r="G126" s="20"/>
      <c r="H126" s="4"/>
    </row>
    <row r="127" spans="2:8" ht="12.75" x14ac:dyDescent="0.2">
      <c r="B127" s="20"/>
      <c r="C127" s="14"/>
      <c r="D127" s="18"/>
      <c r="E127" s="18"/>
      <c r="F127" s="19"/>
      <c r="G127" s="20"/>
      <c r="H127" s="4"/>
    </row>
    <row r="128" spans="2:8" ht="12.75" x14ac:dyDescent="0.2">
      <c r="B128" s="20"/>
      <c r="C128" s="14"/>
      <c r="D128" s="18"/>
      <c r="E128" s="18"/>
      <c r="F128" s="19"/>
      <c r="G128" s="20"/>
      <c r="H128" s="4"/>
    </row>
    <row r="129" spans="2:8" ht="12.75" x14ac:dyDescent="0.2">
      <c r="B129" s="20"/>
      <c r="C129" s="14"/>
      <c r="D129" s="18"/>
      <c r="E129" s="18"/>
      <c r="F129" s="19"/>
      <c r="G129" s="20"/>
      <c r="H129" s="4"/>
    </row>
    <row r="130" spans="2:8" ht="12.75" x14ac:dyDescent="0.2">
      <c r="B130" s="20"/>
      <c r="C130" s="14"/>
      <c r="D130" s="18"/>
      <c r="E130" s="18"/>
      <c r="F130" s="19"/>
      <c r="G130" s="20"/>
      <c r="H130" s="4"/>
    </row>
    <row r="131" spans="2:8" ht="12.75" x14ac:dyDescent="0.2">
      <c r="B131" s="20"/>
      <c r="C131" s="14"/>
      <c r="D131" s="18"/>
      <c r="E131" s="18"/>
      <c r="F131" s="19"/>
      <c r="G131" s="20"/>
      <c r="H131" s="4"/>
    </row>
    <row r="132" spans="2:8" ht="12.75" x14ac:dyDescent="0.2">
      <c r="B132" s="20"/>
      <c r="C132" s="14"/>
      <c r="D132" s="18"/>
      <c r="E132" s="18"/>
      <c r="F132" s="19"/>
      <c r="G132" s="20"/>
      <c r="H132" s="4"/>
    </row>
    <row r="133" spans="2:8" ht="12.75" x14ac:dyDescent="0.2">
      <c r="B133" s="20"/>
      <c r="C133" s="14"/>
      <c r="D133" s="18"/>
      <c r="E133" s="18"/>
      <c r="F133" s="19"/>
      <c r="G133" s="20"/>
      <c r="H133" s="4"/>
    </row>
    <row r="134" spans="2:8" ht="12.75" x14ac:dyDescent="0.2">
      <c r="B134" s="20"/>
      <c r="C134" s="14"/>
      <c r="D134" s="18"/>
      <c r="E134" s="18"/>
      <c r="F134" s="19"/>
      <c r="G134" s="20"/>
      <c r="H134" s="4"/>
    </row>
    <row r="135" spans="2:8" ht="12.75" x14ac:dyDescent="0.2">
      <c r="B135" s="20"/>
      <c r="C135" s="14"/>
      <c r="D135" s="18"/>
      <c r="E135" s="18"/>
      <c r="F135" s="19"/>
      <c r="G135" s="20"/>
      <c r="H135" s="4"/>
    </row>
    <row r="136" spans="2:8" ht="12.75" x14ac:dyDescent="0.2">
      <c r="B136" s="20"/>
      <c r="C136" s="14"/>
      <c r="D136" s="18"/>
      <c r="E136" s="18"/>
      <c r="F136" s="19"/>
      <c r="G136" s="20"/>
      <c r="H136" s="4"/>
    </row>
    <row r="137" spans="2:8" ht="12.75" x14ac:dyDescent="0.2">
      <c r="B137" s="20"/>
      <c r="C137" s="14"/>
      <c r="D137" s="18"/>
      <c r="E137" s="18"/>
      <c r="F137" s="19"/>
      <c r="G137" s="20"/>
      <c r="H137" s="4"/>
    </row>
    <row r="138" spans="2:8" ht="12.75" x14ac:dyDescent="0.2">
      <c r="B138" s="20"/>
      <c r="C138" s="14"/>
      <c r="D138" s="18"/>
      <c r="E138" s="18"/>
      <c r="F138" s="19"/>
      <c r="G138" s="20"/>
      <c r="H138" s="4"/>
    </row>
    <row r="139" spans="2:8" ht="12.75" x14ac:dyDescent="0.2">
      <c r="B139" s="20"/>
      <c r="C139" s="14"/>
      <c r="D139" s="18"/>
      <c r="E139" s="18"/>
      <c r="F139" s="19"/>
      <c r="G139" s="20"/>
      <c r="H139" s="4"/>
    </row>
    <row r="140" spans="2:8" ht="12.75" x14ac:dyDescent="0.2">
      <c r="B140" s="20"/>
      <c r="C140" s="14"/>
      <c r="D140" s="18"/>
      <c r="E140" s="18"/>
      <c r="F140" s="19"/>
      <c r="G140" s="20"/>
      <c r="H140" s="4"/>
    </row>
    <row r="141" spans="2:8" ht="12.75" x14ac:dyDescent="0.2">
      <c r="B141" s="20"/>
      <c r="C141" s="14"/>
      <c r="D141" s="18"/>
      <c r="E141" s="18"/>
      <c r="F141" s="19"/>
      <c r="G141" s="20"/>
      <c r="H141" s="4"/>
    </row>
    <row r="142" spans="2:8" ht="12.75" x14ac:dyDescent="0.2">
      <c r="B142" s="20"/>
      <c r="C142" s="14"/>
      <c r="D142" s="18"/>
      <c r="E142" s="18"/>
      <c r="F142" s="19"/>
      <c r="G142" s="20"/>
      <c r="H142" s="4"/>
    </row>
    <row r="143" spans="2:8" ht="12.75" x14ac:dyDescent="0.2">
      <c r="B143" s="20"/>
      <c r="C143" s="14"/>
      <c r="D143" s="18"/>
      <c r="E143" s="18"/>
      <c r="F143" s="19"/>
      <c r="G143" s="20"/>
      <c r="H143" s="4"/>
    </row>
    <row r="144" spans="2:8" ht="12.75" x14ac:dyDescent="0.2">
      <c r="B144" s="20"/>
      <c r="C144" s="14"/>
      <c r="D144" s="18"/>
      <c r="E144" s="18"/>
      <c r="F144" s="19"/>
      <c r="G144" s="20"/>
      <c r="H144" s="4"/>
    </row>
    <row r="145" spans="2:8" ht="12.75" x14ac:dyDescent="0.2">
      <c r="B145" s="20"/>
      <c r="C145" s="14"/>
      <c r="D145" s="18"/>
      <c r="E145" s="18"/>
      <c r="F145" s="19"/>
      <c r="G145" s="20"/>
      <c r="H145" s="4"/>
    </row>
    <row r="146" spans="2:8" ht="12.75" x14ac:dyDescent="0.2">
      <c r="B146" s="20"/>
      <c r="C146" s="14"/>
      <c r="D146" s="18"/>
      <c r="E146" s="18"/>
      <c r="F146" s="19"/>
      <c r="G146" s="20"/>
      <c r="H146" s="4"/>
    </row>
    <row r="147" spans="2:8" ht="12.75" x14ac:dyDescent="0.2">
      <c r="B147" s="20"/>
      <c r="C147" s="14"/>
      <c r="D147" s="18"/>
      <c r="E147" s="18"/>
      <c r="F147" s="19"/>
      <c r="G147" s="20"/>
      <c r="H147" s="4"/>
    </row>
    <row r="148" spans="2:8" ht="12.75" x14ac:dyDescent="0.2">
      <c r="B148" s="20"/>
      <c r="C148" s="14"/>
      <c r="D148" s="18"/>
      <c r="E148" s="18"/>
      <c r="F148" s="19"/>
      <c r="G148" s="20"/>
      <c r="H148" s="4"/>
    </row>
    <row r="149" spans="2:8" ht="12.75" x14ac:dyDescent="0.2">
      <c r="B149" s="20"/>
      <c r="C149" s="14"/>
      <c r="D149" s="18"/>
      <c r="E149" s="18"/>
      <c r="F149" s="19"/>
      <c r="G149" s="20"/>
      <c r="H149" s="4"/>
    </row>
    <row r="150" spans="2:8" ht="12.75" x14ac:dyDescent="0.2">
      <c r="B150" s="20"/>
      <c r="C150" s="14"/>
      <c r="D150" s="18"/>
      <c r="E150" s="18"/>
      <c r="F150" s="19"/>
      <c r="G150" s="20"/>
      <c r="H150" s="4"/>
    </row>
    <row r="151" spans="2:8" ht="12.75" x14ac:dyDescent="0.2">
      <c r="B151" s="20"/>
      <c r="C151" s="14"/>
      <c r="D151" s="18"/>
      <c r="E151" s="18"/>
      <c r="F151" s="19"/>
      <c r="G151" s="20"/>
      <c r="H151" s="4"/>
    </row>
    <row r="152" spans="2:8" ht="12.75" x14ac:dyDescent="0.2">
      <c r="B152" s="20"/>
      <c r="C152" s="14"/>
      <c r="D152" s="18"/>
      <c r="E152" s="18"/>
      <c r="F152" s="19"/>
      <c r="G152" s="20"/>
      <c r="H152" s="4"/>
    </row>
    <row r="153" spans="2:8" ht="12.75" x14ac:dyDescent="0.2">
      <c r="B153" s="20"/>
      <c r="C153" s="14"/>
      <c r="D153" s="18"/>
      <c r="E153" s="18"/>
      <c r="F153" s="19"/>
      <c r="G153" s="20"/>
      <c r="H153" s="4"/>
    </row>
    <row r="154" spans="2:8" ht="12.75" x14ac:dyDescent="0.2">
      <c r="B154" s="20"/>
      <c r="C154" s="14"/>
      <c r="D154" s="18"/>
      <c r="E154" s="18"/>
      <c r="F154" s="19"/>
      <c r="G154" s="20"/>
      <c r="H154" s="4"/>
    </row>
    <row r="155" spans="2:8" ht="12.75" x14ac:dyDescent="0.2">
      <c r="B155" s="20"/>
      <c r="C155" s="14"/>
      <c r="D155" s="18"/>
      <c r="E155" s="18"/>
      <c r="F155" s="19"/>
      <c r="G155" s="20"/>
      <c r="H155" s="4"/>
    </row>
    <row r="156" spans="2:8" ht="12.75" x14ac:dyDescent="0.2">
      <c r="B156" s="20"/>
      <c r="C156" s="14"/>
      <c r="D156" s="18"/>
      <c r="E156" s="18"/>
      <c r="F156" s="19"/>
      <c r="G156" s="20"/>
      <c r="H156" s="4"/>
    </row>
    <row r="157" spans="2:8" ht="12.75" x14ac:dyDescent="0.2">
      <c r="B157" s="20"/>
      <c r="C157" s="14"/>
      <c r="D157" s="18"/>
      <c r="E157" s="18"/>
      <c r="F157" s="19"/>
      <c r="G157" s="20"/>
      <c r="H157" s="4"/>
    </row>
    <row r="158" spans="2:8" ht="12.75" x14ac:dyDescent="0.2">
      <c r="B158" s="20"/>
      <c r="C158" s="14"/>
      <c r="D158" s="18"/>
      <c r="E158" s="18"/>
      <c r="F158" s="19"/>
      <c r="G158" s="20"/>
      <c r="H158" s="4"/>
    </row>
    <row r="159" spans="2:8" ht="12.75" x14ac:dyDescent="0.2">
      <c r="B159" s="20"/>
      <c r="C159" s="14"/>
      <c r="D159" s="18"/>
      <c r="E159" s="18"/>
      <c r="F159" s="19"/>
      <c r="G159" s="20"/>
      <c r="H159" s="4"/>
    </row>
    <row r="160" spans="2:8" ht="12.75" x14ac:dyDescent="0.2">
      <c r="B160" s="20"/>
      <c r="C160" s="14"/>
      <c r="D160" s="18"/>
      <c r="E160" s="18"/>
      <c r="F160" s="19"/>
      <c r="G160" s="20"/>
      <c r="H160" s="4"/>
    </row>
    <row r="161" spans="2:8" ht="12.75" x14ac:dyDescent="0.2">
      <c r="B161" s="20"/>
      <c r="C161" s="14"/>
      <c r="D161" s="18"/>
      <c r="E161" s="18"/>
      <c r="F161" s="19"/>
      <c r="G161" s="20"/>
      <c r="H161" s="4"/>
    </row>
    <row r="162" spans="2:8" ht="12.75" x14ac:dyDescent="0.2">
      <c r="B162" s="20"/>
      <c r="C162" s="14"/>
      <c r="D162" s="18"/>
      <c r="E162" s="18"/>
      <c r="F162" s="19"/>
      <c r="G162" s="20"/>
      <c r="H162" s="4"/>
    </row>
    <row r="163" spans="2:8" ht="12.75" x14ac:dyDescent="0.2">
      <c r="B163" s="20"/>
      <c r="C163" s="14"/>
      <c r="D163" s="18"/>
      <c r="E163" s="18"/>
      <c r="F163" s="19"/>
      <c r="G163" s="20"/>
      <c r="H163" s="4"/>
    </row>
    <row r="164" spans="2:8" ht="12.75" x14ac:dyDescent="0.2">
      <c r="B164" s="20"/>
      <c r="C164" s="14"/>
      <c r="D164" s="18"/>
      <c r="E164" s="18"/>
      <c r="F164" s="19"/>
      <c r="G164" s="20"/>
      <c r="H164" s="4"/>
    </row>
    <row r="165" spans="2:8" ht="12.75" x14ac:dyDescent="0.2">
      <c r="B165" s="20"/>
      <c r="C165" s="14"/>
      <c r="D165" s="18"/>
      <c r="E165" s="18"/>
      <c r="F165" s="19"/>
      <c r="G165" s="20"/>
      <c r="H165" s="4"/>
    </row>
    <row r="166" spans="2:8" ht="12.75" x14ac:dyDescent="0.2">
      <c r="B166" s="20"/>
      <c r="C166" s="14"/>
      <c r="D166" s="18"/>
      <c r="E166" s="18"/>
      <c r="F166" s="19"/>
      <c r="G166" s="20"/>
      <c r="H166" s="4"/>
    </row>
    <row r="167" spans="2:8" ht="12.75" x14ac:dyDescent="0.2">
      <c r="B167" s="20"/>
      <c r="C167" s="14"/>
      <c r="D167" s="18"/>
      <c r="E167" s="18"/>
      <c r="F167" s="19"/>
      <c r="G167" s="20"/>
      <c r="H167" s="4"/>
    </row>
    <row r="168" spans="2:8" ht="12.75" x14ac:dyDescent="0.2">
      <c r="B168" s="20"/>
      <c r="C168" s="14"/>
      <c r="D168" s="18"/>
      <c r="E168" s="18"/>
      <c r="F168" s="19"/>
      <c r="G168" s="20"/>
      <c r="H168" s="4"/>
    </row>
    <row r="169" spans="2:8" ht="12.75" x14ac:dyDescent="0.2">
      <c r="B169" s="20"/>
      <c r="C169" s="14"/>
      <c r="D169" s="18"/>
      <c r="E169" s="18"/>
      <c r="F169" s="19"/>
      <c r="G169" s="20"/>
      <c r="H169" s="4"/>
    </row>
    <row r="170" spans="2:8" ht="12.75" x14ac:dyDescent="0.2">
      <c r="B170" s="20"/>
      <c r="C170" s="14"/>
      <c r="D170" s="18"/>
      <c r="E170" s="18"/>
      <c r="F170" s="19"/>
      <c r="G170" s="20"/>
      <c r="H170" s="4"/>
    </row>
    <row r="171" spans="2:8" ht="12.75" x14ac:dyDescent="0.2">
      <c r="B171" s="20"/>
      <c r="C171" s="14"/>
      <c r="D171" s="18"/>
      <c r="E171" s="18"/>
      <c r="F171" s="19"/>
      <c r="G171" s="20"/>
      <c r="H171" s="4"/>
    </row>
    <row r="172" spans="2:8" ht="12.75" x14ac:dyDescent="0.2">
      <c r="B172" s="20"/>
      <c r="C172" s="14"/>
      <c r="D172" s="18"/>
      <c r="E172" s="18"/>
      <c r="F172" s="19"/>
      <c r="G172" s="20"/>
      <c r="H172" s="4"/>
    </row>
    <row r="173" spans="2:8" ht="12.75" x14ac:dyDescent="0.2">
      <c r="B173" s="20"/>
      <c r="C173" s="14"/>
      <c r="D173" s="18"/>
      <c r="E173" s="18"/>
      <c r="F173" s="19"/>
      <c r="G173" s="20"/>
      <c r="H173" s="4"/>
    </row>
    <row r="174" spans="2:8" ht="12.75" x14ac:dyDescent="0.2">
      <c r="B174" s="20"/>
      <c r="C174" s="14"/>
      <c r="D174" s="18"/>
      <c r="E174" s="18"/>
      <c r="F174" s="19"/>
      <c r="G174" s="20"/>
      <c r="H174" s="4"/>
    </row>
    <row r="175" spans="2:8" ht="12.75" x14ac:dyDescent="0.2">
      <c r="B175" s="20"/>
      <c r="C175" s="14"/>
      <c r="D175" s="18"/>
      <c r="E175" s="18"/>
      <c r="F175" s="19"/>
      <c r="G175" s="20"/>
      <c r="H175" s="4"/>
    </row>
    <row r="176" spans="2:8" ht="12.75" x14ac:dyDescent="0.2">
      <c r="B176" s="20"/>
      <c r="C176" s="14"/>
      <c r="D176" s="18"/>
      <c r="E176" s="18"/>
      <c r="F176" s="19"/>
      <c r="G176" s="20"/>
      <c r="H176" s="4"/>
    </row>
    <row r="177" spans="2:8" ht="12.75" x14ac:dyDescent="0.2">
      <c r="B177" s="20"/>
      <c r="C177" s="14"/>
      <c r="D177" s="18"/>
      <c r="E177" s="18"/>
      <c r="F177" s="19"/>
      <c r="G177" s="20"/>
      <c r="H177" s="4"/>
    </row>
    <row r="178" spans="2:8" ht="12.75" x14ac:dyDescent="0.2">
      <c r="B178" s="20"/>
      <c r="C178" s="14"/>
      <c r="D178" s="18"/>
      <c r="E178" s="18"/>
      <c r="F178" s="19"/>
      <c r="G178" s="20"/>
      <c r="H178" s="4"/>
    </row>
    <row r="179" spans="2:8" ht="12.75" x14ac:dyDescent="0.2">
      <c r="B179" s="20"/>
      <c r="C179" s="14"/>
      <c r="D179" s="18"/>
      <c r="E179" s="18"/>
      <c r="F179" s="19"/>
      <c r="G179" s="20"/>
      <c r="H179" s="4"/>
    </row>
    <row r="180" spans="2:8" ht="12.75" x14ac:dyDescent="0.2">
      <c r="B180" s="20"/>
      <c r="C180" s="14"/>
      <c r="D180" s="18"/>
      <c r="E180" s="18"/>
      <c r="F180" s="19"/>
      <c r="G180" s="20"/>
      <c r="H180" s="4"/>
    </row>
    <row r="181" spans="2:8" ht="12.75" x14ac:dyDescent="0.2">
      <c r="B181" s="20"/>
      <c r="C181" s="14"/>
      <c r="D181" s="18"/>
      <c r="E181" s="18"/>
      <c r="F181" s="19"/>
      <c r="G181" s="20"/>
      <c r="H181" s="4"/>
    </row>
    <row r="182" spans="2:8" ht="12.75" x14ac:dyDescent="0.2">
      <c r="B182" s="20"/>
      <c r="C182" s="14"/>
      <c r="D182" s="18"/>
      <c r="E182" s="18"/>
      <c r="F182" s="19"/>
      <c r="G182" s="20"/>
      <c r="H182" s="4"/>
    </row>
    <row r="183" spans="2:8" ht="12.75" x14ac:dyDescent="0.2">
      <c r="B183" s="20"/>
      <c r="C183" s="14"/>
      <c r="D183" s="18"/>
      <c r="E183" s="18"/>
      <c r="F183" s="19"/>
      <c r="G183" s="20"/>
      <c r="H183" s="4"/>
    </row>
    <row r="184" spans="2:8" ht="12.75" x14ac:dyDescent="0.2">
      <c r="B184" s="20"/>
      <c r="C184" s="14"/>
      <c r="D184" s="18"/>
      <c r="E184" s="18"/>
      <c r="F184" s="19"/>
      <c r="G184" s="20"/>
      <c r="H184" s="4"/>
    </row>
    <row r="185" spans="2:8" ht="12.75" x14ac:dyDescent="0.2">
      <c r="B185" s="20"/>
      <c r="C185" s="14"/>
      <c r="D185" s="18"/>
      <c r="E185" s="18"/>
      <c r="F185" s="19"/>
      <c r="G185" s="20"/>
      <c r="H185" s="4"/>
    </row>
    <row r="186" spans="2:8" ht="12.75" x14ac:dyDescent="0.2">
      <c r="B186" s="20"/>
      <c r="C186" s="14"/>
      <c r="D186" s="18"/>
      <c r="E186" s="18"/>
      <c r="F186" s="19"/>
      <c r="G186" s="20"/>
      <c r="H186" s="4"/>
    </row>
    <row r="187" spans="2:8" ht="12.75" x14ac:dyDescent="0.2">
      <c r="B187" s="20"/>
      <c r="C187" s="14"/>
      <c r="D187" s="18"/>
      <c r="E187" s="18"/>
      <c r="F187" s="19"/>
      <c r="G187" s="20"/>
      <c r="H187" s="4"/>
    </row>
    <row r="188" spans="2:8" ht="12.75" x14ac:dyDescent="0.2">
      <c r="B188" s="20"/>
      <c r="C188" s="14"/>
      <c r="D188" s="18"/>
      <c r="E188" s="18"/>
      <c r="F188" s="19"/>
      <c r="G188" s="20"/>
      <c r="H188" s="4"/>
    </row>
    <row r="189" spans="2:8" ht="12.75" x14ac:dyDescent="0.2">
      <c r="B189" s="20"/>
      <c r="C189" s="14"/>
      <c r="D189" s="18"/>
      <c r="E189" s="18"/>
      <c r="F189" s="19"/>
      <c r="G189" s="20"/>
      <c r="H189" s="4"/>
    </row>
    <row r="190" spans="2:8" ht="12.75" x14ac:dyDescent="0.2">
      <c r="B190" s="20"/>
      <c r="C190" s="14"/>
      <c r="D190" s="18"/>
      <c r="E190" s="18"/>
      <c r="F190" s="19"/>
      <c r="G190" s="20"/>
      <c r="H190" s="4"/>
    </row>
    <row r="191" spans="2:8" ht="12.75" x14ac:dyDescent="0.2">
      <c r="B191" s="20"/>
      <c r="C191" s="14"/>
      <c r="D191" s="18"/>
      <c r="E191" s="18"/>
      <c r="F191" s="19"/>
      <c r="G191" s="20"/>
      <c r="H191" s="4"/>
    </row>
    <row r="192" spans="2:8" ht="12.75" x14ac:dyDescent="0.2">
      <c r="B192" s="20"/>
      <c r="C192" s="14"/>
      <c r="D192" s="18"/>
      <c r="E192" s="18"/>
      <c r="F192" s="19"/>
      <c r="G192" s="20"/>
      <c r="H192" s="4"/>
    </row>
    <row r="193" spans="2:8" ht="12.75" x14ac:dyDescent="0.2">
      <c r="B193" s="20"/>
      <c r="C193" s="14"/>
      <c r="D193" s="18"/>
      <c r="E193" s="18"/>
      <c r="F193" s="19"/>
      <c r="G193" s="20"/>
      <c r="H193" s="4"/>
    </row>
    <row r="194" spans="2:8" ht="12.75" x14ac:dyDescent="0.2">
      <c r="B194" s="20"/>
      <c r="C194" s="14"/>
      <c r="D194" s="18"/>
      <c r="E194" s="18"/>
      <c r="F194" s="19"/>
      <c r="G194" s="20"/>
      <c r="H194" s="4"/>
    </row>
    <row r="195" spans="2:8" ht="12.75" x14ac:dyDescent="0.2">
      <c r="B195" s="20"/>
      <c r="C195" s="14"/>
      <c r="D195" s="18"/>
      <c r="E195" s="18"/>
      <c r="F195" s="19"/>
      <c r="G195" s="20"/>
      <c r="H195" s="4"/>
    </row>
    <row r="196" spans="2:8" ht="12.75" x14ac:dyDescent="0.2">
      <c r="B196" s="20"/>
      <c r="C196" s="14"/>
      <c r="D196" s="18"/>
      <c r="E196" s="18"/>
      <c r="F196" s="19"/>
      <c r="G196" s="20"/>
      <c r="H196" s="4"/>
    </row>
    <row r="197" spans="2:8" ht="12.75" x14ac:dyDescent="0.2">
      <c r="B197" s="20"/>
      <c r="C197" s="14"/>
      <c r="D197" s="18"/>
      <c r="E197" s="18"/>
      <c r="F197" s="19"/>
      <c r="G197" s="20"/>
      <c r="H197" s="4"/>
    </row>
    <row r="198" spans="2:8" ht="12.75" x14ac:dyDescent="0.2">
      <c r="B198" s="20"/>
      <c r="C198" s="14"/>
      <c r="D198" s="18"/>
      <c r="E198" s="18"/>
      <c r="F198" s="19"/>
      <c r="G198" s="20"/>
      <c r="H198" s="4"/>
    </row>
    <row r="199" spans="2:8" ht="12.75" x14ac:dyDescent="0.2">
      <c r="B199" s="20"/>
      <c r="C199" s="14"/>
      <c r="D199" s="18"/>
      <c r="E199" s="18"/>
      <c r="F199" s="19"/>
      <c r="G199" s="20"/>
      <c r="H199" s="4"/>
    </row>
    <row r="200" spans="2:8" ht="12.75" x14ac:dyDescent="0.2">
      <c r="B200" s="20"/>
      <c r="C200" s="14"/>
      <c r="D200" s="18"/>
      <c r="E200" s="18"/>
      <c r="F200" s="19"/>
      <c r="G200" s="20"/>
      <c r="H200" s="4"/>
    </row>
    <row r="201" spans="2:8" ht="12.75" x14ac:dyDescent="0.2">
      <c r="B201" s="20"/>
      <c r="C201" s="14"/>
      <c r="D201" s="18"/>
      <c r="E201" s="18"/>
      <c r="F201" s="19"/>
      <c r="G201" s="20"/>
      <c r="H201" s="4"/>
    </row>
    <row r="202" spans="2:8" ht="12.75" x14ac:dyDescent="0.2">
      <c r="B202" s="20"/>
      <c r="C202" s="14"/>
      <c r="D202" s="18"/>
      <c r="E202" s="18"/>
      <c r="F202" s="19"/>
      <c r="G202" s="20"/>
      <c r="H202" s="4"/>
    </row>
    <row r="203" spans="2:8" ht="12.75" x14ac:dyDescent="0.2">
      <c r="B203" s="20"/>
      <c r="C203" s="14"/>
      <c r="D203" s="18"/>
      <c r="E203" s="18"/>
      <c r="F203" s="19"/>
      <c r="G203" s="20"/>
      <c r="H203" s="4"/>
    </row>
    <row r="204" spans="2:8" ht="12.75" x14ac:dyDescent="0.2">
      <c r="B204" s="20"/>
      <c r="C204" s="14"/>
      <c r="D204" s="18"/>
      <c r="E204" s="18"/>
      <c r="F204" s="19"/>
      <c r="G204" s="20"/>
      <c r="H204" s="4"/>
    </row>
    <row r="205" spans="2:8" ht="12.75" x14ac:dyDescent="0.2">
      <c r="B205" s="20"/>
      <c r="C205" s="14"/>
      <c r="D205" s="18"/>
      <c r="E205" s="18"/>
      <c r="F205" s="19"/>
      <c r="G205" s="20"/>
      <c r="H205" s="4"/>
    </row>
    <row r="206" spans="2:8" ht="12.75" x14ac:dyDescent="0.2">
      <c r="B206" s="20"/>
      <c r="C206" s="14"/>
      <c r="D206" s="18"/>
      <c r="E206" s="18"/>
      <c r="F206" s="19"/>
      <c r="G206" s="20"/>
      <c r="H206" s="4"/>
    </row>
    <row r="207" spans="2:8" ht="12.75" x14ac:dyDescent="0.2">
      <c r="B207" s="20"/>
      <c r="C207" s="14"/>
      <c r="D207" s="18"/>
      <c r="E207" s="18"/>
      <c r="F207" s="19"/>
      <c r="G207" s="20"/>
      <c r="H207" s="4"/>
    </row>
    <row r="208" spans="2:8" ht="12.75" x14ac:dyDescent="0.2">
      <c r="B208" s="20"/>
      <c r="C208" s="14"/>
      <c r="D208" s="18"/>
      <c r="E208" s="18"/>
      <c r="F208" s="19"/>
      <c r="G208" s="20"/>
      <c r="H208" s="4"/>
    </row>
    <row r="209" spans="2:8" ht="12.75" x14ac:dyDescent="0.2">
      <c r="B209" s="20"/>
      <c r="C209" s="14"/>
      <c r="D209" s="18"/>
      <c r="E209" s="18"/>
      <c r="F209" s="19"/>
      <c r="G209" s="20"/>
      <c r="H209" s="4"/>
    </row>
    <row r="210" spans="2:8" ht="12.75" x14ac:dyDescent="0.2">
      <c r="B210" s="20"/>
      <c r="C210" s="14"/>
      <c r="D210" s="18"/>
      <c r="E210" s="18"/>
      <c r="F210" s="19"/>
      <c r="G210" s="20"/>
      <c r="H210" s="4"/>
    </row>
    <row r="211" spans="2:8" ht="12.75" x14ac:dyDescent="0.2">
      <c r="B211" s="20"/>
      <c r="C211" s="14"/>
      <c r="D211" s="18"/>
      <c r="E211" s="18"/>
      <c r="F211" s="19"/>
      <c r="G211" s="20"/>
      <c r="H211" s="4"/>
    </row>
    <row r="212" spans="2:8" ht="12.75" x14ac:dyDescent="0.2">
      <c r="B212" s="20"/>
      <c r="C212" s="14"/>
      <c r="D212" s="18"/>
      <c r="E212" s="18"/>
      <c r="F212" s="19"/>
      <c r="G212" s="20"/>
      <c r="H212" s="4"/>
    </row>
    <row r="213" spans="2:8" ht="12.75" x14ac:dyDescent="0.2">
      <c r="B213" s="20"/>
      <c r="C213" s="14"/>
      <c r="D213" s="18"/>
      <c r="E213" s="18"/>
      <c r="F213" s="19"/>
      <c r="G213" s="20"/>
      <c r="H213" s="4"/>
    </row>
    <row r="214" spans="2:8" ht="12.75" x14ac:dyDescent="0.2">
      <c r="B214" s="20"/>
      <c r="C214" s="14"/>
      <c r="D214" s="18"/>
      <c r="E214" s="18"/>
      <c r="F214" s="19"/>
      <c r="G214" s="20"/>
      <c r="H214" s="4"/>
    </row>
    <row r="215" spans="2:8" ht="12.75" x14ac:dyDescent="0.2">
      <c r="B215" s="20"/>
      <c r="C215" s="14"/>
      <c r="D215" s="18"/>
      <c r="E215" s="18"/>
      <c r="F215" s="19"/>
      <c r="G215" s="20"/>
      <c r="H215" s="4"/>
    </row>
    <row r="216" spans="2:8" ht="12.75" x14ac:dyDescent="0.2">
      <c r="B216" s="20"/>
      <c r="C216" s="14"/>
      <c r="D216" s="18"/>
      <c r="E216" s="18"/>
      <c r="F216" s="19"/>
      <c r="G216" s="20"/>
      <c r="H216" s="4"/>
    </row>
    <row r="217" spans="2:8" ht="12.75" x14ac:dyDescent="0.2">
      <c r="B217" s="20"/>
      <c r="C217" s="14"/>
      <c r="D217" s="18"/>
      <c r="E217" s="18"/>
      <c r="F217" s="19"/>
      <c r="G217" s="20"/>
      <c r="H217" s="4"/>
    </row>
    <row r="218" spans="2:8" ht="12.75" x14ac:dyDescent="0.2">
      <c r="B218" s="20"/>
      <c r="C218" s="14"/>
      <c r="D218" s="18"/>
      <c r="E218" s="18"/>
      <c r="F218" s="19"/>
      <c r="G218" s="20"/>
      <c r="H218" s="4"/>
    </row>
    <row r="219" spans="2:8" ht="12.75" x14ac:dyDescent="0.2">
      <c r="B219" s="20"/>
      <c r="C219" s="14"/>
      <c r="D219" s="18"/>
      <c r="E219" s="18"/>
      <c r="F219" s="19"/>
      <c r="G219" s="20"/>
      <c r="H219" s="4"/>
    </row>
    <row r="220" spans="2:8" ht="12.75" x14ac:dyDescent="0.2">
      <c r="B220" s="20"/>
      <c r="C220" s="14"/>
      <c r="D220" s="18"/>
      <c r="E220" s="18"/>
      <c r="F220" s="19"/>
      <c r="G220" s="20"/>
      <c r="H220" s="4"/>
    </row>
  </sheetData>
  <sheetProtection algorithmName="SHA-512" hashValue="183PkIHGO31/e+R3hcJD/U1SAtd1uQYHB/OEIG0ZoNnzGlKxuSnMccIsHP6mt+eSSR1CpO2B0uqudTlzHFfB2Q==" saltValue="b4ctl8kbVJ5V2bsIC4m8aw==" spinCount="100000" sheet="1" selectLockedCells="1"/>
  <dataConsolidate/>
  <mergeCells count="4">
    <mergeCell ref="D16:F16"/>
    <mergeCell ref="C16:C17"/>
    <mergeCell ref="B16:B17"/>
    <mergeCell ref="F39:F41"/>
  </mergeCells>
  <phoneticPr fontId="2" type="noConversion"/>
  <dataValidations xWindow="866" yWindow="463" count="11">
    <dataValidation type="decimal" showInputMessage="1" showErrorMessage="1" errorTitle="Invalid VCAP Voltage" error="VCAP must be between 0.8V and VOUT." promptTitle="VCAP Float Voltage" prompt="VCAP must be between 0.8V and VOUT." sqref="C24" xr:uid="{00000000-0002-0000-0000-000000000000}">
      <formula1>0.8</formula1>
      <formula2>MIN(5,C18)</formula2>
    </dataValidation>
    <dataValidation type="decimal" showInputMessage="1" showErrorMessage="1" errorTitle="Invalid VIN" error="VIN must be between 3V and 20V." promptTitle="VIN Nominal" prompt="VIN must be between 3V and 20V" sqref="C13" xr:uid="{00000000-0002-0000-0000-000001000000}">
      <formula1>3</formula1>
      <formula2>20</formula2>
    </dataValidation>
    <dataValidation type="decimal" showInputMessage="1" showErrorMessage="1" errorTitle="Invalid VOUT Voltage" error="VOUT must be between 2.7V and 5V." promptTitle="VOUT Backup voltage" prompt="VOUT must be between 2.7V and 5V." sqref="C18" xr:uid="{00000000-0002-0000-0000-000002000000}">
      <formula1>2.7</formula1>
      <formula2>5</formula2>
    </dataValidation>
    <dataValidation type="decimal" showInputMessage="1" showErrorMessage="1" errorTitle="Invalid Efficiency" error="Efficiency must be between 0.1 and 100." promptTitle="Efficiency" prompt="Enter the Efficiency in %" sqref="C22" xr:uid="{00000000-0002-0000-0000-000003000000}">
      <formula1>0.1</formula1>
      <formula2>100</formula2>
    </dataValidation>
    <dataValidation type="decimal" showInputMessage="1" showErrorMessage="1" errorTitle="Invalid EOL Capacitance" error="EOL capacitance must be 0.1% and 100%." promptTitle="EOL Capacitance" prompt="Enter the percentage of initial capacitance for EOL" sqref="C11" xr:uid="{00000000-0002-0000-0000-000004000000}">
      <formula1>0.1</formula1>
      <formula2>100</formula2>
    </dataValidation>
    <dataValidation type="decimal" operator="greaterThan" showInputMessage="1" showErrorMessage="1" errorTitle="Invalid EOL ESR" error="EOL ESR must be greater than 100%" promptTitle="EOL ESR" prompt="Enter the percentage of initial ESR for EOL" sqref="C12" xr:uid="{00000000-0002-0000-0000-000005000000}">
      <formula1>100</formula1>
    </dataValidation>
    <dataValidation type="decimal" operator="greaterThan" showInputMessage="1" showErrorMessage="1" errorTitle="Invalid POUT Backup" error="POUT Backup must be greater than 0W." promptTitle="POUT Backup" prompt="Enter a value greater than 0W" sqref="C20" xr:uid="{00000000-0002-0000-0000-000006000000}">
      <formula1>0</formula1>
    </dataValidation>
    <dataValidation type="whole" showInputMessage="1" showErrorMessage="1" errorTitle="Invalid Entry" error="There must be either 1 or 2 caps in the stack." promptTitle="Number of Caps in Series" prompt="Enter the number of capacitors in the stack, 1 or 2." sqref="C26" xr:uid="{00000000-0002-0000-0000-000007000000}">
      <formula1>1</formula1>
      <formula2>2</formula2>
    </dataValidation>
    <dataValidation type="decimal" operator="greaterThan" allowBlank="1" showInputMessage="1" showErrorMessage="1" errorTitle="Invalid Entry" error="Capacitance must be greater than 0F" promptTitle="Cell Capacitance " prompt="Enter the single cell capacitance in F" sqref="C28" xr:uid="{00000000-0002-0000-0000-000008000000}">
      <formula1>0</formula1>
    </dataValidation>
    <dataValidation type="decimal" operator="greaterThan" allowBlank="1" showInputMessage="1" showErrorMessage="1" errorTitle="Invalid Entry" error="ESR must be greater than 0Ω." promptTitle="Cell ESR" prompt="Enter the single cell ESR in Ω." sqref="C29" xr:uid="{00000000-0002-0000-0000-000009000000}">
      <formula1>0</formula1>
    </dataValidation>
    <dataValidation type="decimal" showInputMessage="1" showErrorMessage="1" errorTitle="Invalid Entry" error="Boost Peak Current must be between 1 and 5A." promptTitle="Boost Peak Current" prompt="Enter the boost peak current between 1 and 5 Amps" sqref="C31" xr:uid="{00000000-0002-0000-0000-00000A000000}">
      <formula1>1</formula1>
      <formula2>5</formula2>
    </dataValidation>
  </dataValidations>
  <pageMargins left="0.52" right="0.51" top="0.53" bottom="0.7" header="0.4921259845" footer="0.61"/>
  <pageSetup paperSize="9" scale="78" orientation="portrait" r:id="rId1"/>
  <headerFooter alignWithMargins="0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N19"/>
  <sheetViews>
    <sheetView workbookViewId="0">
      <selection activeCell="B3" sqref="B3:N20"/>
    </sheetView>
  </sheetViews>
  <sheetFormatPr defaultRowHeight="12.75" x14ac:dyDescent="0.2"/>
  <cols>
    <col min="2" max="2" width="15.28515625" customWidth="1"/>
    <col min="3" max="3" width="19.85546875" customWidth="1"/>
    <col min="4" max="4" width="18.7109375" customWidth="1"/>
    <col min="5" max="5" width="9.85546875" customWidth="1"/>
    <col min="6" max="7" width="18.7109375" bestFit="1" customWidth="1"/>
    <col min="8" max="8" width="8.140625" customWidth="1"/>
    <col min="9" max="10" width="18.7109375" bestFit="1" customWidth="1"/>
    <col min="11" max="11" width="9.28515625" customWidth="1"/>
    <col min="12" max="13" width="18.7109375" bestFit="1" customWidth="1"/>
    <col min="14" max="14" width="9.85546875" customWidth="1"/>
  </cols>
  <sheetData>
    <row r="2" spans="2:14" x14ac:dyDescent="0.2">
      <c r="B2" s="4"/>
      <c r="C2" s="4"/>
      <c r="D2" s="4"/>
      <c r="E2" s="4"/>
    </row>
    <row r="3" spans="2:14" ht="13.5" x14ac:dyDescent="0.25">
      <c r="B3" s="8"/>
      <c r="C3" s="4" t="s">
        <v>48</v>
      </c>
      <c r="D3" s="4"/>
      <c r="E3" s="4"/>
    </row>
    <row r="4" spans="2:14" ht="13.5" thickBot="1" x14ac:dyDescent="0.25">
      <c r="B4" s="11" t="s">
        <v>47</v>
      </c>
      <c r="C4" s="11">
        <f>IBSTpk*0.85</f>
        <v>4.25</v>
      </c>
      <c r="D4" s="11"/>
      <c r="E4" s="11"/>
    </row>
    <row r="5" spans="2:14" x14ac:dyDescent="0.2">
      <c r="B5" s="28"/>
      <c r="C5" s="113" t="s">
        <v>5</v>
      </c>
      <c r="D5" s="114"/>
      <c r="E5" s="115"/>
      <c r="F5" s="113" t="s">
        <v>6</v>
      </c>
      <c r="G5" s="114"/>
      <c r="H5" s="115"/>
      <c r="I5" s="113" t="s">
        <v>7</v>
      </c>
      <c r="J5" s="114"/>
      <c r="K5" s="115"/>
      <c r="L5" s="113" t="s">
        <v>8</v>
      </c>
      <c r="M5" s="114"/>
      <c r="N5" s="115"/>
    </row>
    <row r="6" spans="2:14" x14ac:dyDescent="0.2">
      <c r="B6" s="29"/>
      <c r="C6" s="26"/>
      <c r="D6" s="25" t="s">
        <v>4</v>
      </c>
      <c r="E6" s="27" t="s">
        <v>3</v>
      </c>
      <c r="F6" s="26"/>
      <c r="G6" s="25" t="s">
        <v>4</v>
      </c>
      <c r="H6" s="27" t="s">
        <v>3</v>
      </c>
      <c r="I6" s="26"/>
      <c r="J6" s="25" t="s">
        <v>4</v>
      </c>
      <c r="K6" s="27" t="s">
        <v>3</v>
      </c>
      <c r="L6" s="26"/>
      <c r="M6" s="25" t="s">
        <v>4</v>
      </c>
      <c r="N6" s="27" t="s">
        <v>3</v>
      </c>
    </row>
    <row r="7" spans="2:14" x14ac:dyDescent="0.2">
      <c r="B7" s="97" t="s">
        <v>40</v>
      </c>
      <c r="C7" s="26"/>
      <c r="D7" s="25">
        <f>MIN(VCAP,VBKUP+0.7)</f>
        <v>2.4</v>
      </c>
      <c r="E7" s="27"/>
      <c r="F7" s="26"/>
      <c r="G7" s="25">
        <f>MIN(VCAP,VBKUP+0.7)</f>
        <v>2.4</v>
      </c>
      <c r="H7" s="27"/>
      <c r="I7" s="26"/>
      <c r="J7" s="25">
        <f>D7</f>
        <v>2.4</v>
      </c>
      <c r="K7" s="27"/>
      <c r="L7" s="26"/>
      <c r="M7" s="25">
        <f>G7</f>
        <v>2.4</v>
      </c>
      <c r="N7" s="27"/>
    </row>
    <row r="8" spans="2:14" x14ac:dyDescent="0.2">
      <c r="B8" s="97" t="s">
        <v>41</v>
      </c>
      <c r="C8" s="26"/>
      <c r="D8" s="25">
        <f>MIN(VCAPminBk,VBKUP+7)</f>
        <v>0.74992546753131573</v>
      </c>
      <c r="E8" s="27"/>
      <c r="F8" s="26"/>
      <c r="G8" s="25">
        <f>MIN(VCAPminEOLR,VBKUP+0.7)</f>
        <v>0.9237604307034013</v>
      </c>
      <c r="H8" s="27"/>
      <c r="I8" s="26"/>
      <c r="J8" s="25">
        <f>D8</f>
        <v>0.74992546753131573</v>
      </c>
      <c r="K8" s="27"/>
      <c r="L8" s="26"/>
      <c r="M8" s="25">
        <f>G8</f>
        <v>0.9237604307034013</v>
      </c>
      <c r="N8" s="27"/>
    </row>
    <row r="9" spans="2:14" x14ac:dyDescent="0.2">
      <c r="B9" s="30" t="s">
        <v>1</v>
      </c>
      <c r="C9" s="33"/>
      <c r="D9" s="34">
        <f>IF(1-4*RSTK*POUT/(EFF/100*(D7)^2)&gt;0,1+SQRT(1-4*RSTK*POUT/(EFF/100*(D7)^2)),1)</f>
        <v>1.9622504486493764</v>
      </c>
      <c r="E9" s="35"/>
      <c r="F9" s="33"/>
      <c r="G9" s="34">
        <f>IF(1-4*RSTK_EOLR*POUT/(EFF/100*(G7)^2)&gt;0,1+SQRT(1-4*RSTK_EOLR*POUT/(EFF/100*(G7)^2)),1)</f>
        <v>1.9229582069908973</v>
      </c>
      <c r="H9" s="35"/>
      <c r="I9" s="33"/>
      <c r="J9" s="34">
        <f>LMaxBelow</f>
        <v>1.9622504486493764</v>
      </c>
      <c r="K9" s="35"/>
      <c r="L9" s="33"/>
      <c r="M9" s="34"/>
      <c r="N9" s="35"/>
    </row>
    <row r="10" spans="2:14" x14ac:dyDescent="0.2">
      <c r="B10" s="31"/>
      <c r="C10" s="33"/>
      <c r="D10" s="34"/>
      <c r="E10" s="35"/>
      <c r="F10" s="33"/>
      <c r="G10" s="34"/>
      <c r="H10" s="35"/>
      <c r="I10" s="33"/>
      <c r="J10" s="34"/>
      <c r="K10" s="35"/>
      <c r="L10" s="33"/>
      <c r="M10" s="34"/>
      <c r="N10" s="35"/>
    </row>
    <row r="11" spans="2:14" x14ac:dyDescent="0.2">
      <c r="B11" s="30" t="s">
        <v>2</v>
      </c>
      <c r="C11" s="33"/>
      <c r="D11" s="34">
        <f>IF(1-4*RSTK*POUT/(EFF/100*(D8)^2)&gt;0,1+SQRT(1-4*RSTK*POUT/(EFF/100*(D8)^2)),1)</f>
        <v>1.4912542121805785</v>
      </c>
      <c r="E11" s="35"/>
      <c r="F11" s="33"/>
      <c r="G11" s="34">
        <f>IF(1-4*RSTK_EOLR*POUT/(EFF/100*(G8)^2)&gt;0,1+SQRT(1-4*RSTK_EOLR*POUT/(EFF/100*(G8)^2)),1)</f>
        <v>1.0000000149011612</v>
      </c>
      <c r="H11" s="35"/>
      <c r="I11" s="33"/>
      <c r="J11" s="34">
        <f>LMinBelow</f>
        <v>1.4912542121805785</v>
      </c>
      <c r="K11" s="35"/>
      <c r="L11" s="33"/>
      <c r="M11" s="34"/>
      <c r="N11" s="35"/>
    </row>
    <row r="12" spans="2:14" x14ac:dyDescent="0.2">
      <c r="B12" s="31"/>
      <c r="C12" s="33"/>
      <c r="D12" s="34"/>
      <c r="E12" s="35"/>
      <c r="F12" s="33"/>
      <c r="G12" s="34"/>
      <c r="H12" s="35"/>
      <c r="I12" s="33"/>
      <c r="J12" s="34"/>
      <c r="K12" s="35"/>
      <c r="L12" s="33"/>
      <c r="M12" s="34"/>
      <c r="N12" s="35"/>
    </row>
    <row r="13" spans="2:14" ht="13.5" thickBot="1" x14ac:dyDescent="0.25">
      <c r="B13" s="32" t="s">
        <v>35</v>
      </c>
      <c r="C13" s="36"/>
      <c r="D13" s="37">
        <f>IF(D7&gt;D8,CSTK/4*(LMaxBelow*(D7)^2-LMinBelow*(D8)^2-4*RSTK*POUT/(EFF/100)*LN(LMaxBelow*(D7)/(LMinBelow*(D8))))/POUT*EFF/100,0)</f>
        <v>2.7704445770251107</v>
      </c>
      <c r="E13" s="38">
        <f>MAX(TimeAbove,TimeAbove+TimeBelow,TimeBelow)</f>
        <v>2.7704445770251107</v>
      </c>
      <c r="F13" s="36"/>
      <c r="G13" s="37">
        <f>IF(G7&gt;G8,CSTK/4*(LMaxBelowR*(G7)^2-LMinBelowR*(G8)^2-4*RSTK_EOLR*POUT/(EFF/100)*LN(LMaxBelowR*(G7)/(LMinBelowR*(G8))))/POUT*EFF/100,0)</f>
        <v>2.4891196587863824</v>
      </c>
      <c r="H13" s="38">
        <f>MAX(TimeAboveR,TimeAboveR+TimeBelowR,TimeBelowR)</f>
        <v>2.4891196587863824</v>
      </c>
      <c r="I13" s="36"/>
      <c r="J13" s="37">
        <f>IF(J7&gt;J8,CSTK_EOLC/4*(LMaxBelowC*(J7)^2-LMinBelowC*(J8)^2-4*RSTK*POUT/(EFF/100)*LN(LMaxBelowC*(J7)/(LMinBelowC*(J8))))/POUT*EFF/100,0)</f>
        <v>1.9393112039175773</v>
      </c>
      <c r="K13" s="38">
        <f>MAX(TimeAboveC,TimeAboveC+TimeBelowC,TimeBelowC)</f>
        <v>1.9393112039175773</v>
      </c>
      <c r="L13" s="36"/>
      <c r="M13" s="37">
        <f>IF(M7&gt;M8,CSTK_EOLC/4*(LMaxBelowR*(M7)^2-LMinBelowR*(M8)^2-4*RSTK_EOLR*POUT/(EFF/100)*LN(LMaxBelowR*(M7)/(LMinBelowR*(M8))))/POUT*EFF/100,0)</f>
        <v>1.7423837611504676</v>
      </c>
      <c r="N13" s="38">
        <f>MAX(TimeAboveRC,TimeAboveRC+TimeBelowRC,TimeBelowRC)</f>
        <v>1.7423837611504676</v>
      </c>
    </row>
    <row r="14" spans="2:14" x14ac:dyDescent="0.2">
      <c r="C14" s="116" t="s">
        <v>36</v>
      </c>
      <c r="D14" s="116"/>
      <c r="E14" s="116"/>
      <c r="F14" s="116" t="s">
        <v>13</v>
      </c>
      <c r="G14" s="116"/>
      <c r="H14" s="116"/>
      <c r="I14" s="116" t="s">
        <v>13</v>
      </c>
      <c r="J14" s="116"/>
      <c r="K14" s="116"/>
    </row>
    <row r="15" spans="2:14" x14ac:dyDescent="0.2">
      <c r="C15" s="13" t="s">
        <v>11</v>
      </c>
      <c r="D15" s="13" t="s">
        <v>37</v>
      </c>
      <c r="E15" t="s">
        <v>12</v>
      </c>
      <c r="F15" s="13" t="s">
        <v>11</v>
      </c>
      <c r="G15" s="13" t="s">
        <v>37</v>
      </c>
      <c r="H15" t="s">
        <v>12</v>
      </c>
      <c r="I15" s="13" t="s">
        <v>11</v>
      </c>
      <c r="J15" s="13" t="s">
        <v>37</v>
      </c>
      <c r="K15" t="s">
        <v>12</v>
      </c>
    </row>
    <row r="16" spans="2:14" x14ac:dyDescent="0.2">
      <c r="C16" s="91">
        <f>IF(SQRT(4*RSTK*POUT)&gt;VBKUP+0.7,SQRT(4*RSTK*POUT),SQRT(4*RSTK*POUT/(EFF/100)))</f>
        <v>0.65319726474218087</v>
      </c>
      <c r="D16">
        <f>IF(AND(IBST&lt;POUT/(VCAPminPTR*EFF/100),VCAPminPTR&lt;VBKUP+0.7),POUT/(IBST*EFF/100)+IBST*RSTK,POUT/(IBST*EFF/100)+POUT*RSTK/VCAPminPTR)</f>
        <v>0.74992546753131573</v>
      </c>
      <c r="E16" s="91">
        <f>0.13*VBKUP</f>
        <v>0.52</v>
      </c>
      <c r="F16" s="91">
        <f>IF(SQRT(4*RSTK_EOLR*POUT)&gt;VBKUP+0.7,SQRT(4*RSTK_EOLR*POUT),SQRT(4*RSTK_EOLR*POUT/(EFF/100)))</f>
        <v>0.9237604307034013</v>
      </c>
      <c r="G16" s="91">
        <f>IF(AND(IBST&lt;POUT/(VCAPminPTR_R*EFF/100),VCAPminPTR_R&lt;VBKUP+0.7),POUT/(IBST*EFF/100)+IBST*RSTK_EOLR,POUT/(IBST*EFF/100)+POUT*RSTK_EOLR/VCAPminPTR_R)</f>
        <v>0.80065606114904453</v>
      </c>
      <c r="H16" s="91">
        <f>0.13*VBKUP</f>
        <v>0.52</v>
      </c>
      <c r="I16" s="91">
        <f>IF(SQRT(4*RSTK*POUT)&gt;VBKUP+0.7,SQRT(4*RSTK*POUT),SQRT(4*RSTK*POUT/(EFF/100)))</f>
        <v>0.65319726474218087</v>
      </c>
      <c r="J16">
        <f>IF(AND(IBST&lt;POUT/(VCAPminPTR*EFF/100),VCAPminPTR&lt;VBKUP+0.7),POUT/(IBST*EFF/100)+IBST*RSTK,POUT/(IBST*EFF/100)+POUT*RSTK/VCAPminPTR)</f>
        <v>0.74992546753131573</v>
      </c>
      <c r="K16" s="91">
        <f>0.13*VBKUP</f>
        <v>0.52</v>
      </c>
    </row>
    <row r="17" spans="3:7" x14ac:dyDescent="0.2">
      <c r="C17" s="112" t="s">
        <v>38</v>
      </c>
      <c r="D17" s="112"/>
      <c r="E17" s="112"/>
      <c r="F17" s="112"/>
      <c r="G17" s="112"/>
    </row>
    <row r="18" spans="3:7" x14ac:dyDescent="0.2">
      <c r="C18" s="92">
        <f>IF(SQRT(4*RSTK*POUT)&gt;VBKUP+0.7,SQRT(4*RSTK*POUT),SQRT(4*RSTK*POUT/(EFF/100)))</f>
        <v>0.65319726474218087</v>
      </c>
      <c r="D18" s="92">
        <f>POUT/(EFF/100*IBST)+RSTK*IBST</f>
        <v>0.79745098039215689</v>
      </c>
      <c r="E18" s="92">
        <f>IF(1-VCAPminPTR/VBKUP&gt;0.92,0.07*VBKUP,VCAPminPTR)</f>
        <v>0.65319726474218087</v>
      </c>
    </row>
    <row r="19" spans="3:7" x14ac:dyDescent="0.2">
      <c r="C19" s="92"/>
      <c r="D19" s="92"/>
      <c r="E19" s="92"/>
    </row>
  </sheetData>
  <sheetProtection algorithmName="SHA-512" hashValue="tgdxcCduT6qkSDzr0CiyXcLySpFFBg5OpnrWwEO/YRqrFZDCqPP7KJYCdVwKlGtzzGMaygYKdW2NOywJN0jx9w==" saltValue="ox+hX/8cv0FeJWk4WdMdHg==" spinCount="100000" sheet="1" selectLockedCells="1"/>
  <mergeCells count="8">
    <mergeCell ref="C17:G17"/>
    <mergeCell ref="L5:N5"/>
    <mergeCell ref="C5:E5"/>
    <mergeCell ref="F5:H5"/>
    <mergeCell ref="I5:K5"/>
    <mergeCell ref="F14:H14"/>
    <mergeCell ref="C14:E14"/>
    <mergeCell ref="I14:K14"/>
  </mergeCells>
  <phoneticPr fontId="1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4 E a k U i o e J 9 O j A A A A 9 Q A A A B I A H A B D b 2 5 m a W c v U G F j a 2 F n Z S 5 4 b W w g o h g A K K A U A A A A A A A A A A A A A A A A A A A A A A A A A A A A h Y + x D o I w G I R f h X S n L e h A y E 8 Z X C U x I R r X p l R s h B 9 D i + X d H H w k X 0 G M o m 6 O d 9 9 d c n e / 3 i A f 2 y a 4 6 N 6 a D j M S U U 4 C j a q r D N Y Z G d w h T E g u Y C P V S d Y 6 m M J o 0 9 G a j B y d O 6 e M e e + p X 9 C u r 1 n M e c T 2 x b p U R 9 3 K 0 K B 1 E p U m n 1 b 1 v 0 U E 7 F 5 j R E y T J U 3 4 N A n Y 7 E F h 8 M v j i T 3 p j w m r o X F D r 4 X G c F s C m y W w 9 w X x A F B L A w Q U A A I A C A D g R q R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E a k U i i K R 7 g O A A A A E Q A A A B M A H A B G b 3 J t d W x h c y 9 T Z W N 0 a W 9 u M S 5 t I K I Y A C i g F A A A A A A A A A A A A A A A A A A A A A A A A A A A A C t O T S 7 J z M 9 T C I b Q h t Y A U E s B A i 0 A F A A C A A g A 4 E a k U i o e J 9 O j A A A A 9 Q A A A B I A A A A A A A A A A A A A A A A A A A A A A E N v b m Z p Z y 9 Q Y W N r Y W d l L n h t b F B L A Q I t A B Q A A g A I A O B G p F I P y u m r p A A A A O k A A A A T A A A A A A A A A A A A A A A A A O 8 A A A B b Q 2 9 u d G V u d F 9 U e X B l c 1 0 u e G 1 s U E s B A i 0 A F A A C A A g A 4 E a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r + / y S j o h Z D s W a O 3 k L V e Y I A A A A A A g A A A A A A A 2 Y A A M A A A A A Q A A A A p N r O I b w p B n j / X I O + t P f 4 e w A A A A A E g A A A o A A A A B A A A A D U N s C N m U H b M b q F s l Z j T u W y U A A A A P 1 C a n P y b x Z 8 H w B x 1 4 g + b Q 2 G u k g I H p e g p p 0 x 5 B K I t 1 U 9 A E c J 6 T a h i p M L m t d u Y E + B l l 5 J P i E O 9 p A y h z / F V 5 u N w 8 N d H d y m z z 7 7 E g 8 m m U I m V X k v F A A A A I H o A k k b N G / O 5 P 9 R O E x 5 B 0 d g + 2 f l < / D a t a M a s h u p > 
</file>

<file path=customXml/itemProps1.xml><?xml version="1.0" encoding="utf-8"?>
<ds:datastoreItem xmlns:ds="http://schemas.openxmlformats.org/officeDocument/2006/customXml" ds:itemID="{2A3A2ED3-9EC5-4984-808E-0FC5155B3A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55</vt:i4>
      </vt:variant>
    </vt:vector>
  </HeadingPairs>
  <TitlesOfParts>
    <vt:vector size="57" baseType="lpstr">
      <vt:lpstr>LTC3355 Backup Time</vt:lpstr>
      <vt:lpstr>Calculations</vt:lpstr>
      <vt:lpstr>CCELL</vt:lpstr>
      <vt:lpstr>CCELL_EOL</vt:lpstr>
      <vt:lpstr>CSTK</vt:lpstr>
      <vt:lpstr>CSTK_EOLC</vt:lpstr>
      <vt:lpstr>CSTK_EOLR</vt:lpstr>
      <vt:lpstr>EFF</vt:lpstr>
      <vt:lpstr>IBST</vt:lpstr>
      <vt:lpstr>IBSTpk</vt:lpstr>
      <vt:lpstr>LMaxAbove</vt:lpstr>
      <vt:lpstr>LMaxAboveC</vt:lpstr>
      <vt:lpstr>LMaxAboveR</vt:lpstr>
      <vt:lpstr>LMaxAboveRC</vt:lpstr>
      <vt:lpstr>LMaxBelow</vt:lpstr>
      <vt:lpstr>LMaxBelowC</vt:lpstr>
      <vt:lpstr>LMaxBelowR</vt:lpstr>
      <vt:lpstr>LMaxBelowRC</vt:lpstr>
      <vt:lpstr>LMinAbove</vt:lpstr>
      <vt:lpstr>LMinAboveC</vt:lpstr>
      <vt:lpstr>LMinAboveR</vt:lpstr>
      <vt:lpstr>LMinAboveRC</vt:lpstr>
      <vt:lpstr>LMinBelow</vt:lpstr>
      <vt:lpstr>LMinBelowC</vt:lpstr>
      <vt:lpstr>LMinBelowR</vt:lpstr>
      <vt:lpstr>LMinBelowRC</vt:lpstr>
      <vt:lpstr>Num</vt:lpstr>
      <vt:lpstr>POUT</vt:lpstr>
      <vt:lpstr>RCELL</vt:lpstr>
      <vt:lpstr>RCELL_EOL</vt:lpstr>
      <vt:lpstr>RSTK</vt:lpstr>
      <vt:lpstr>RSTK_EOLC</vt:lpstr>
      <vt:lpstr>RSTK_EOLR</vt:lpstr>
      <vt:lpstr>TBackupTotal</vt:lpstr>
      <vt:lpstr>TimeAbove</vt:lpstr>
      <vt:lpstr>TimeAboveC</vt:lpstr>
      <vt:lpstr>TimeAboveR</vt:lpstr>
      <vt:lpstr>TimeAboveRC</vt:lpstr>
      <vt:lpstr>TimeBelow</vt:lpstr>
      <vt:lpstr>TimeBelowC</vt:lpstr>
      <vt:lpstr>TimeBelowR</vt:lpstr>
      <vt:lpstr>TimeBelowRC</vt:lpstr>
      <vt:lpstr>TTotalC</vt:lpstr>
      <vt:lpstr>TTotalR</vt:lpstr>
      <vt:lpstr>TTotalRC</vt:lpstr>
      <vt:lpstr>VBKUP</vt:lpstr>
      <vt:lpstr>VCAP</vt:lpstr>
      <vt:lpstr>VCAPminBk</vt:lpstr>
      <vt:lpstr>VCAPminDC</vt:lpstr>
      <vt:lpstr>VCAPminDC_R</vt:lpstr>
      <vt:lpstr>VCAPminDiode</vt:lpstr>
      <vt:lpstr>VCAPminEOLC</vt:lpstr>
      <vt:lpstr>VCAPminEOLR</vt:lpstr>
      <vt:lpstr>VCAPminIp</vt:lpstr>
      <vt:lpstr>VCAPminIpR</vt:lpstr>
      <vt:lpstr>VCAPminPTR</vt:lpstr>
      <vt:lpstr>VCAPminPTR_R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Merchant</dc:creator>
  <cp:lastModifiedBy>Merchant, Martin</cp:lastModifiedBy>
  <cp:lastPrinted>2015-01-20T17:47:36Z</cp:lastPrinted>
  <dcterms:created xsi:type="dcterms:W3CDTF">2001-04-05T09:29:00Z</dcterms:created>
  <dcterms:modified xsi:type="dcterms:W3CDTF">2022-03-30T15:07:46Z</dcterms:modified>
</cp:coreProperties>
</file>